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etorgft1752131.sharepoint.com/sites/ADI/Shared Documents/adrshare/ADI Business Solutions Client Files/TUCSON INTERNATIONAL/BUDGET/Tucson Int. FY26 Budget/Adopted/"/>
    </mc:Choice>
  </mc:AlternateContent>
  <xr:revisionPtr revIDLastSave="179" documentId="13_ncr:1_{7343D6EE-A125-4AB9-823D-824DD5BD6FDF}" xr6:coauthVersionLast="47" xr6:coauthVersionMax="47" xr10:uidLastSave="{093BFB0C-39EA-41E3-A734-DAE33071F7FC}"/>
  <bookViews>
    <workbookView xWindow="41970" yWindow="2390" windowWidth="28800" windowHeight="15300" tabRatio="720" xr2:uid="{00000000-000D-0000-FFFF-FFFF00000000}"/>
  </bookViews>
  <sheets>
    <sheet name="Cover" sheetId="1" r:id="rId1"/>
    <sheet name="Page 1" sheetId="2" r:id="rId2"/>
    <sheet name="Page 2" sheetId="3" r:id="rId3"/>
    <sheet name="Page 3" sheetId="9" r:id="rId4"/>
    <sheet name="Page 4" sheetId="11" r:id="rId5"/>
    <sheet name="Budget Summary" sheetId="12" r:id="rId6"/>
    <sheet name="Project balances" sheetId="22" r:id="rId7"/>
    <sheet name="Data Entry" sheetId="18" r:id="rId8"/>
    <sheet name="Calculations" sheetId="16" r:id="rId9"/>
    <sheet name="BSA55" sheetId="21" r:id="rId10"/>
    <sheet name="Instructions" sheetId="13" r:id="rId11"/>
  </sheets>
  <externalReferences>
    <externalReference r:id="rId12"/>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Entry'!$C$95</definedName>
    <definedName name="AdditionalTeacherSalaryIncreaseCover" localSheetId="9">Incr200Days</definedName>
    <definedName name="AOIFTStudCnt912CY">'Data Entry'!$L$39</definedName>
    <definedName name="AOIFTStudCntDD.ED.MIID.SLD.SLI.OHI">'Data Entry'!$J$69</definedName>
    <definedName name="AOIFTStudCntEDP">'Data Entry'!$J$70</definedName>
    <definedName name="AOIFTStudCntELL">'Data Entry'!$J$59</definedName>
    <definedName name="AOIFTStudCntFRPL">'Data Entry'!$J$73</definedName>
    <definedName name="AOIFTStudCntG">'Data Entry'!$J$74</definedName>
    <definedName name="AOIFTStudCntHI">'Data Entry'!$J$62</definedName>
    <definedName name="AOIFTStudCntK3">'Data Entry'!$J$60</definedName>
    <definedName name="AOIFTStudCntK3Read">'Data Entry'!$J$61</definedName>
    <definedName name="AOIFTStudCntK8CY">'Data Entry'!$I$39</definedName>
    <definedName name="AOIFTStudCntMDR.AR.SIDR">'Data Entry'!$J$63</definedName>
    <definedName name="AOIFTStudCntMDSC.ASC.SIDSC">'Data Entry'!$J$64</definedName>
    <definedName name="AOIFTStudCntMDSSI">'Data Entry'!$J$65</definedName>
    <definedName name="AOIFTStudCntMOID">'Data Entry'!$J$71</definedName>
    <definedName name="AOIFTStudCntOIR">'Data Entry'!$J$66</definedName>
    <definedName name="AOIFTStudCntOISC">'Data Entry'!$J$67</definedName>
    <definedName name="AOIFTStudCntP.SD">'Data Entry'!$J$68</definedName>
    <definedName name="AOIFTStudCntVI">'Data Entry'!$J$72</definedName>
    <definedName name="AOIPTStudCnt912CY">'Data Entry'!$L$40</definedName>
    <definedName name="AOIPTStudCntDD.ED.MIID.SLD.SLI.OHI">'Data Entry'!$K$69</definedName>
    <definedName name="AOIPTStudCntEDP">'Data Entry'!$K$70</definedName>
    <definedName name="AOIPTStudCntELL">'Data Entry'!$K$59</definedName>
    <definedName name="AOIPTStudCntFRPL">'Data Entry'!$K$73</definedName>
    <definedName name="AOIPTStudCntG">'Data Entry'!$K$74</definedName>
    <definedName name="AOIPTStudCntHI">'Data Entry'!$K$62</definedName>
    <definedName name="AOIPTStudCntK3">'Data Entry'!$K$60</definedName>
    <definedName name="AOIPTStudCntK3Read">'Data Entry'!$K$61</definedName>
    <definedName name="AOIPTStudCntK8CY">'Data Entry'!$I$40</definedName>
    <definedName name="AOIPTStudCntMDR.AR.SIDR">'Data Entry'!$K$63</definedName>
    <definedName name="AOIPTStudCntMDSC.ASC.SIDSC">'Data Entry'!$K$64</definedName>
    <definedName name="AOIPTStudCntMDSSI">'Data Entry'!$K$65</definedName>
    <definedName name="AOIPTStudCntMOID">'Data Entry'!$K$71</definedName>
    <definedName name="AOIPTStudCntOIR">'Data Entry'!$K$66</definedName>
    <definedName name="AOIPTStudCntOISC">'Data Entry'!$K$67</definedName>
    <definedName name="AOIPTStudCntP.SD">'Data Entry'!$K$68</definedName>
    <definedName name="AOIPTStudCntVI">'Data Entry'!$K$72</definedName>
    <definedName name="ArizonaIndustryCredentialsIncentives">Instructions!$C$15</definedName>
    <definedName name="AverageSalaryCalculationComment">Cover!$L$36</definedName>
    <definedName name="AverageTeacherSalaries">Instructions!$C$7</definedName>
    <definedName name="BudgetSummary">Instructions!$C$31</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Instructions!$C$17</definedName>
    <definedName name="CharterContactInfo">Instructions!#REF!</definedName>
    <definedName name="CharterName">Cover!$D$1</definedName>
    <definedName name="Check_box_if_the_district_has_been_approved_to_provide_200_days_of_instruction_by_ADE.__A.R.S._Sec._15_902.04">'Data Entry'!$C$85</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Instructions!$C$14</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Entry'!$C$86</definedName>
    <definedName name="EmployeeBenefits">Instructions!$C$2</definedName>
    <definedName name="EstimatedRevenues">Instructions!$C$6</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Entry'!$D$85</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Entry'!$L$38</definedName>
    <definedName name="NonAOIStudCntDD.ED.MIID.SLD.SLI.OHI">'Data Entry'!$I$69</definedName>
    <definedName name="NonAOIStudCntEDP">'Data Entry'!$I$70</definedName>
    <definedName name="NonAOIStudCntELL">'Data Entry'!$I$59</definedName>
    <definedName name="NonAOIStudCntFRPL">'Data Entry'!$I$73</definedName>
    <definedName name="NonAOIStudCntG">'Data Entry'!$I$74</definedName>
    <definedName name="NonAOIStudCntHI">'Data Entry'!$I$62</definedName>
    <definedName name="NonAOIStudCntK3">'Data Entry'!$I$60</definedName>
    <definedName name="NonAOIStudCntK3Read">'Data Entry'!$I$61</definedName>
    <definedName name="NonAOIStudCntK8CY">'Data Entry'!$I$38</definedName>
    <definedName name="NonAOIStudCntMDR.AR.SIDR">'Data Entry'!$I$63</definedName>
    <definedName name="NonAOIStudCntMDSC.ASC.SIDSC">'Data Entry'!$I$64</definedName>
    <definedName name="NonAOIStudCntMDSSI">'Data Entry'!$I$65</definedName>
    <definedName name="NonAOIStudCntMOID">'Data Entry'!$I$71</definedName>
    <definedName name="NonAOIStudCntOIR">'Data Entry'!$I$66</definedName>
    <definedName name="NonAOIStudCntOISC">'Data Entry'!$I$67</definedName>
    <definedName name="NonAOIStudCntP.SD">'Data Entry'!$I$68</definedName>
    <definedName name="NonAOIStudCntPSDCY">'Data Entry'!$F$38</definedName>
    <definedName name="NonAOIStudCntVI">'Data Entry'!$I$72</definedName>
    <definedName name="NonFedAuditExp">'Data Entry'!$N$92</definedName>
    <definedName name="OtherStateProjects">Instructions!$C$16</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Instructions!$C$27</definedName>
    <definedName name="Page3ClassroomSiteProjectsSubTable">Instructions!$C$28</definedName>
    <definedName name="PercentStatewideWeightedStudentCount">#REF!</definedName>
    <definedName name="Pg1EmployeeBenefits">Instructions!$C$12</definedName>
    <definedName name="Pg1General">Instructions!$C$8</definedName>
    <definedName name="Pg1Line37">Instructions!$C$11</definedName>
    <definedName name="Pg1Program550">Instructions!$C$9</definedName>
    <definedName name="Pg2DebtService">Instructions!$C$25</definedName>
    <definedName name="Pg2ExpensesByType">Instructions!$C$21</definedName>
    <definedName name="pg2FTE">#REF!</definedName>
    <definedName name="Pg2InstructionalImprovementProj">Instructions!$C$23</definedName>
    <definedName name="Pg2Line1">Instructions!$C$19</definedName>
    <definedName name="Pg2Line9">Instructions!$C$20</definedName>
    <definedName name="Pg2Lines3and4">Instructions!$C$24</definedName>
    <definedName name="Pg2SpecialEd">Instructions!$C$18</definedName>
    <definedName name="Pg2StateEqualAssist">Instructions!$C$22</definedName>
    <definedName name="Pg3ClassroomSiteProj">Instructions!$C$26</definedName>
    <definedName name="Pg4CompensatoryInstructionProj">Instructions!$C$30</definedName>
    <definedName name="Pg4EnglishLanguageLearnerProj">Instructions!$C$29</definedName>
    <definedName name="_xlnm.Print_Area" localSheetId="5">'Budget Summary'!$A$1:$M$47</definedName>
    <definedName name="_xlnm.Print_Area" localSheetId="8">Calculations!$A$1:$Q$79</definedName>
    <definedName name="_xlnm.Print_Area" localSheetId="0">Cover!$A$1:$S$43</definedName>
    <definedName name="_xlnm.Print_Area" localSheetId="7">'Data Entry'!$A$1:$P$100</definedName>
    <definedName name="_xlnm.Print_Area" localSheetId="10">Instructions!$A$1:$C$41</definedName>
    <definedName name="_xlnm.Print_Area" localSheetId="1">'Page 1'!$A$1:$N$50</definedName>
    <definedName name="_xlnm.Print_Area" localSheetId="2">'Page 2'!$A$1:$O$49</definedName>
    <definedName name="_xlnm.Print_Area" localSheetId="4">'Page 4'!$A$1:$P$43</definedName>
    <definedName name="_xlnm.Print_Area">'Page 4'!$A$1:$P$43</definedName>
    <definedName name="_xlnm.Print_Titles" localSheetId="10">Instructions!$1:$1</definedName>
    <definedName name="PriorYearSalary">Cover!$R$33</definedName>
    <definedName name="ProjectBalancesLine1">Instructions!$C$32</definedName>
    <definedName name="ProjectBalancesLine2a">Instructions!$C$33</definedName>
    <definedName name="ProjectBalancesLine2b">Instructions!$C$34</definedName>
    <definedName name="ProjectBalancesLine3a">Instructions!$C$35</definedName>
    <definedName name="ProjectBalancesLine3b">Instructions!$C$36</definedName>
    <definedName name="ProjectBalancesLine4a">Instructions!$C$37</definedName>
    <definedName name="ProjectBalancesLine4b">Instructions!$C$38</definedName>
    <definedName name="ProjectBalancesLine4c">Instructions!$C$39</definedName>
    <definedName name="ProjectBalancesLine4d">Instructions!$C$40</definedName>
    <definedName name="ProjectBalancesLine5">Instructions!$C$41</definedName>
    <definedName name="RemoteTimeAdjustment">'Data Entry'!$N$98</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Entry'!$L$41</definedName>
    <definedName name="StudCntK8CY">'Data Entry'!$I$41</definedName>
    <definedName name="Total_Student_Count">'Data Entry'!$B$41</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Instructions!$C$13</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 name="websitelink">Instructions!$C$5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16" l="1"/>
  <c r="G72" i="16"/>
  <c r="N30" i="3"/>
  <c r="G8" i="2"/>
  <c r="F8" i="2"/>
  <c r="E12" i="3"/>
  <c r="N5" i="3"/>
  <c r="G8" i="9"/>
  <c r="F8" i="9"/>
  <c r="I22" i="2"/>
  <c r="H11" i="2"/>
  <c r="D34" i="3" l="1"/>
  <c r="D31" i="3"/>
  <c r="M5" i="3"/>
  <c r="M36" i="11" a="1"/>
  <c r="M36" i="11" s="1"/>
  <c r="O36" i="11" s="1"/>
  <c r="F42" i="11" a="1"/>
  <c r="F42" i="11" s="1"/>
  <c r="F38" i="11" a="1"/>
  <c r="F38" i="11" s="1"/>
  <c r="F36" i="11" a="1"/>
  <c r="F36" i="11" s="1"/>
  <c r="M38" i="11" a="1"/>
  <c r="M38" i="11" s="1"/>
  <c r="O38" i="11" s="1"/>
  <c r="M37" i="11" a="1"/>
  <c r="M37" i="11" s="1"/>
  <c r="O37" i="11" s="1"/>
  <c r="F37" i="11" a="1"/>
  <c r="F37" i="11" s="1"/>
  <c r="M35" i="11" a="1"/>
  <c r="M35" i="11" s="1"/>
  <c r="O35" i="11" s="1"/>
  <c r="M42" i="11" a="1"/>
  <c r="M42" i="11" s="1"/>
  <c r="O42" i="11" s="1"/>
  <c r="F11" i="11" a="1"/>
  <c r="F11" i="11" s="1"/>
  <c r="M9" i="11" a="1"/>
  <c r="M9" i="11" s="1"/>
  <c r="F9" i="11" a="1"/>
  <c r="F9" i="11" s="1"/>
  <c r="F34" i="11" a="1"/>
  <c r="F34" i="11" s="1"/>
  <c r="F35" i="11" a="1"/>
  <c r="F35" i="11" s="1"/>
  <c r="M34" i="11" a="1"/>
  <c r="M34" i="11" s="1"/>
  <c r="O34" i="11" s="1"/>
  <c r="F14" i="11" a="1"/>
  <c r="F14" i="11" s="1"/>
  <c r="M13" i="11" a="1"/>
  <c r="M13" i="11" s="1"/>
  <c r="O13" i="11" s="1"/>
  <c r="F13" i="11" a="1"/>
  <c r="F13" i="11" s="1"/>
  <c r="M12" i="11" a="1"/>
  <c r="M12" i="11" s="1"/>
  <c r="O12" i="11" s="1"/>
  <c r="F12" i="11" a="1"/>
  <c r="F12" i="11" s="1"/>
  <c r="M11" i="11" a="1"/>
  <c r="M11" i="11" s="1"/>
  <c r="O11" i="11" s="1"/>
  <c r="F16" i="11" a="1"/>
  <c r="F16" i="11" s="1"/>
  <c r="F15" i="11" a="1"/>
  <c r="F15" i="11" s="1"/>
  <c r="M14" i="11" a="1"/>
  <c r="M14" i="11" s="1"/>
  <c r="O14" i="11" s="1"/>
  <c r="M16" i="11" a="1"/>
  <c r="M16" i="11" s="1"/>
  <c r="O16" i="11" s="1"/>
  <c r="M15" i="11" a="1"/>
  <c r="M15" i="11" s="1"/>
  <c r="O15" i="11" s="1"/>
  <c r="M33" i="11" a="1"/>
  <c r="M33" i="11" s="1"/>
  <c r="O33" i="11" s="1"/>
  <c r="F17" i="11" a="1"/>
  <c r="F17" i="11" s="1"/>
  <c r="F30" i="11" a="1"/>
  <c r="F30" i="11" s="1"/>
  <c r="M21" i="11" a="1"/>
  <c r="M21" i="11" s="1"/>
  <c r="O21" i="11" s="1"/>
  <c r="F21" i="11" a="1"/>
  <c r="F21" i="11" s="1"/>
  <c r="M17" i="11" a="1"/>
  <c r="M17" i="11" s="1"/>
  <c r="O17" i="11" s="1"/>
  <c r="M22" i="11" a="1"/>
  <c r="M22" i="11" s="1"/>
  <c r="O22" i="11" s="1"/>
  <c r="M32" i="11" a="1"/>
  <c r="M32" i="11" s="1"/>
  <c r="O32" i="11" s="1"/>
  <c r="F33" i="11" a="1"/>
  <c r="F33" i="11" s="1"/>
  <c r="F32" i="11" a="1"/>
  <c r="F32" i="11" s="1"/>
  <c r="M30" i="11" a="1"/>
  <c r="M30" i="11" s="1"/>
  <c r="J13" i="9" a="1"/>
  <c r="J13" i="9" s="1"/>
  <c r="J12" i="9" a="1"/>
  <c r="J12" i="9" s="1"/>
  <c r="L12" i="9" s="1"/>
  <c r="J9" i="9" a="1"/>
  <c r="J9" i="9" s="1"/>
  <c r="L9" i="9" s="1"/>
  <c r="J10" i="9" a="1"/>
  <c r="J10" i="9" s="1"/>
  <c r="L10" i="9" s="1"/>
  <c r="J11" i="9" a="1"/>
  <c r="J11" i="9" s="1"/>
  <c r="L11" i="9" s="1"/>
  <c r="J8" i="9" a="1"/>
  <c r="J8" i="9" s="1"/>
  <c r="M14" i="3" a="1"/>
  <c r="M14" i="3" s="1"/>
  <c r="D40" i="3" a="1"/>
  <c r="D40" i="3" s="1"/>
  <c r="D48" i="3"/>
  <c r="D45" i="3"/>
  <c r="D44" i="3"/>
  <c r="D43" i="3"/>
  <c r="D42" i="3"/>
  <c r="D41" i="3"/>
  <c r="M24" i="3"/>
  <c r="M23" i="3"/>
  <c r="M22" i="3"/>
  <c r="M21" i="3"/>
  <c r="M11" i="3"/>
  <c r="K18" i="12" s="1"/>
  <c r="M18" i="12" s="1"/>
  <c r="M10" i="3"/>
  <c r="K17" i="12" s="1"/>
  <c r="M17" i="12" s="1"/>
  <c r="M9" i="3"/>
  <c r="K16" i="12" s="1"/>
  <c r="M16" i="12" s="1"/>
  <c r="M8" i="3"/>
  <c r="K15" i="12" s="1"/>
  <c r="M15" i="12" s="1"/>
  <c r="M7" i="3"/>
  <c r="K14" i="12" s="1"/>
  <c r="M14" i="12" s="1"/>
  <c r="M6" i="3"/>
  <c r="K13" i="12" s="1"/>
  <c r="M13" i="12" s="1"/>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J29" i="12" s="1"/>
  <c r="L29" i="12" s="1"/>
  <c r="K46" i="2"/>
  <c r="M46" i="2" s="1"/>
  <c r="K45" i="2"/>
  <c r="J27" i="12" s="1"/>
  <c r="K44" i="2"/>
  <c r="J26" i="12" s="1"/>
  <c r="K42" i="2"/>
  <c r="D40" i="12" s="1"/>
  <c r="K41" i="2"/>
  <c r="M41" i="2" s="1"/>
  <c r="K40" i="2"/>
  <c r="M40" i="2" s="1"/>
  <c r="K39" i="2"/>
  <c r="D37" i="12" s="1"/>
  <c r="K36" i="2"/>
  <c r="D34" i="12" s="1"/>
  <c r="F34" i="12" s="1"/>
  <c r="K35" i="2"/>
  <c r="M35" i="2" s="1"/>
  <c r="K34" i="2"/>
  <c r="D32" i="12" s="1"/>
  <c r="F32" i="12" s="1"/>
  <c r="K33" i="2"/>
  <c r="D31" i="12" s="1"/>
  <c r="F31" i="12" s="1"/>
  <c r="K32" i="2"/>
  <c r="D30" i="12" s="1"/>
  <c r="F30" i="12" s="1"/>
  <c r="K31" i="2"/>
  <c r="D29" i="12" s="1"/>
  <c r="F29" i="12" s="1"/>
  <c r="K30" i="2"/>
  <c r="D28" i="12" s="1"/>
  <c r="K29" i="2"/>
  <c r="D27" i="12" s="1"/>
  <c r="F27" i="12" s="1"/>
  <c r="K28" i="2"/>
  <c r="D26" i="12" s="1"/>
  <c r="K27" i="2"/>
  <c r="D25" i="12" s="1"/>
  <c r="K25" i="2"/>
  <c r="K22" i="2"/>
  <c r="D20" i="12" s="1"/>
  <c r="K21" i="2"/>
  <c r="D19" i="12" s="1"/>
  <c r="K20" i="2"/>
  <c r="D18" i="12" s="1"/>
  <c r="F18" i="12" s="1"/>
  <c r="K19" i="2"/>
  <c r="M19" i="2" s="1"/>
  <c r="K18" i="2"/>
  <c r="D16" i="12" s="1"/>
  <c r="F16" i="12" s="1"/>
  <c r="K17" i="2"/>
  <c r="D15" i="12" s="1"/>
  <c r="K16" i="2"/>
  <c r="D14" i="12" s="1"/>
  <c r="F14" i="12" s="1"/>
  <c r="K15" i="2"/>
  <c r="D13" i="12" s="1"/>
  <c r="K14" i="2"/>
  <c r="D12" i="12" s="1"/>
  <c r="K13" i="2"/>
  <c r="D11" i="12" s="1"/>
  <c r="K12" i="2"/>
  <c r="D10" i="12" s="1"/>
  <c r="K11" i="2"/>
  <c r="D9" i="12" s="1"/>
  <c r="K10" i="2"/>
  <c r="K8" i="2"/>
  <c r="D6" i="12" s="1"/>
  <c r="R6" i="1"/>
  <c r="C68" i="21"/>
  <c r="C66" i="21"/>
  <c r="H55" i="21"/>
  <c r="H54" i="21"/>
  <c r="E58" i="21" s="1"/>
  <c r="E51" i="21"/>
  <c r="H50"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1" i="21"/>
  <c r="C11" i="21"/>
  <c r="D10" i="21"/>
  <c r="C10" i="21"/>
  <c r="B10" i="21"/>
  <c r="G66" i="21" s="1"/>
  <c r="G68" i="21" s="1"/>
  <c r="D9" i="21"/>
  <c r="C9" i="21"/>
  <c r="B9" i="21"/>
  <c r="H8" i="21"/>
  <c r="G8" i="21"/>
  <c r="F8" i="21"/>
  <c r="E8" i="21"/>
  <c r="B8" i="21"/>
  <c r="A3" i="21"/>
  <c r="A60" i="21" s="1"/>
  <c r="I1" i="21"/>
  <c r="E1" i="21"/>
  <c r="B1" i="21"/>
  <c r="G75" i="16"/>
  <c r="N75" i="16" s="1"/>
  <c r="G74" i="16"/>
  <c r="F74" i="16"/>
  <c r="F73" i="16"/>
  <c r="F72" i="16"/>
  <c r="F75" i="16" s="1"/>
  <c r="N74" i="16" s="1"/>
  <c r="N50" i="16"/>
  <c r="L50" i="16"/>
  <c r="N48" i="16"/>
  <c r="L48" i="16"/>
  <c r="N46" i="16"/>
  <c r="L46" i="16"/>
  <c r="N45" i="16"/>
  <c r="L45" i="16"/>
  <c r="N42" i="16"/>
  <c r="L42" i="16"/>
  <c r="N40" i="16"/>
  <c r="L40" i="16"/>
  <c r="N38" i="16"/>
  <c r="L38" i="16"/>
  <c r="N37" i="16"/>
  <c r="L37" i="16"/>
  <c r="L1" i="16"/>
  <c r="I1" i="16"/>
  <c r="E1" i="16"/>
  <c r="K75" i="18"/>
  <c r="J75" i="18"/>
  <c r="I75" i="18"/>
  <c r="L50" i="18"/>
  <c r="I50" i="18"/>
  <c r="G50" i="18"/>
  <c r="L41" i="18"/>
  <c r="I41" i="18"/>
  <c r="L20" i="16" s="1"/>
  <c r="G41" i="18"/>
  <c r="J31" i="18"/>
  <c r="J30" i="18"/>
  <c r="J29" i="18"/>
  <c r="A27" i="18"/>
  <c r="L58" i="16" s="1"/>
  <c r="P1" i="18"/>
  <c r="L1" i="18"/>
  <c r="E1" i="18"/>
  <c r="C25" i="22"/>
  <c r="C18" i="22"/>
  <c r="C15" i="22"/>
  <c r="H1" i="22"/>
  <c r="E1" i="22"/>
  <c r="B1" i="22"/>
  <c r="H41" i="12"/>
  <c r="E39" i="12"/>
  <c r="L38" i="12"/>
  <c r="E38" i="12"/>
  <c r="L37" i="12"/>
  <c r="M35" i="12" s="1"/>
  <c r="E34" i="12"/>
  <c r="E33" i="12"/>
  <c r="E32" i="12"/>
  <c r="K31" i="12"/>
  <c r="E31" i="12"/>
  <c r="E30" i="12"/>
  <c r="K29" i="12"/>
  <c r="E29" i="12"/>
  <c r="K28" i="12"/>
  <c r="E27" i="12"/>
  <c r="E26" i="12"/>
  <c r="L18" i="12"/>
  <c r="L17" i="12"/>
  <c r="E17" i="12"/>
  <c r="L16" i="12"/>
  <c r="E16" i="12"/>
  <c r="L15" i="12"/>
  <c r="L14" i="12"/>
  <c r="E14" i="12"/>
  <c r="L13" i="12"/>
  <c r="L12" i="12"/>
  <c r="L19" i="12" s="1"/>
  <c r="K12" i="12"/>
  <c r="H3" i="12"/>
  <c r="L1" i="12"/>
  <c r="A1" i="12"/>
  <c r="N43" i="11"/>
  <c r="L43" i="11"/>
  <c r="K43" i="11"/>
  <c r="J43" i="11"/>
  <c r="I43" i="11"/>
  <c r="H43" i="11"/>
  <c r="G43" i="11"/>
  <c r="N42" i="11"/>
  <c r="N39" i="11"/>
  <c r="L39" i="11"/>
  <c r="K39" i="11"/>
  <c r="J39" i="11"/>
  <c r="I39" i="11"/>
  <c r="H39" i="11"/>
  <c r="G39" i="11"/>
  <c r="N38" i="11"/>
  <c r="N37" i="11"/>
  <c r="N36" i="11"/>
  <c r="N35" i="11"/>
  <c r="N34" i="11"/>
  <c r="N33" i="11"/>
  <c r="N32" i="11"/>
  <c r="N30" i="11"/>
  <c r="N22" i="11"/>
  <c r="L22" i="11"/>
  <c r="K22" i="11"/>
  <c r="J22" i="11"/>
  <c r="I22" i="11"/>
  <c r="H22" i="11"/>
  <c r="G22" i="11"/>
  <c r="N21" i="11"/>
  <c r="N18" i="11"/>
  <c r="L18" i="11"/>
  <c r="K18" i="11"/>
  <c r="J18" i="11"/>
  <c r="I18" i="11"/>
  <c r="H18" i="11"/>
  <c r="G18" i="11"/>
  <c r="N17" i="11"/>
  <c r="N16" i="11"/>
  <c r="N15" i="11"/>
  <c r="N14" i="11"/>
  <c r="N13" i="11"/>
  <c r="N12" i="11"/>
  <c r="N11" i="11"/>
  <c r="N9" i="11"/>
  <c r="N1" i="11"/>
  <c r="J1" i="11"/>
  <c r="D1" i="11"/>
  <c r="I13" i="9"/>
  <c r="H13" i="9"/>
  <c r="G13" i="9"/>
  <c r="F13" i="9"/>
  <c r="F44" i="2" s="1"/>
  <c r="K12" i="9"/>
  <c r="K11" i="9"/>
  <c r="K10" i="9"/>
  <c r="K9" i="9"/>
  <c r="K8" i="9"/>
  <c r="L1" i="9"/>
  <c r="G1" i="9"/>
  <c r="D1" i="9"/>
  <c r="E46" i="3"/>
  <c r="K32" i="12" s="1"/>
  <c r="E36" i="3"/>
  <c r="N25" i="3"/>
  <c r="L45" i="2" s="1"/>
  <c r="K27" i="12" s="1"/>
  <c r="E22" i="3"/>
  <c r="K30" i="12" s="1"/>
  <c r="N12" i="3"/>
  <c r="N1" i="3"/>
  <c r="I1" i="3"/>
  <c r="C1" i="3"/>
  <c r="L47" i="2"/>
  <c r="J47" i="2"/>
  <c r="I47" i="2"/>
  <c r="H47" i="2"/>
  <c r="G47" i="2"/>
  <c r="F47" i="2"/>
  <c r="L46" i="2"/>
  <c r="J46" i="2"/>
  <c r="I46" i="2"/>
  <c r="H46" i="2"/>
  <c r="G46" i="2"/>
  <c r="F46" i="2"/>
  <c r="I44" i="2"/>
  <c r="H44" i="2"/>
  <c r="G44" i="2"/>
  <c r="L42" i="2"/>
  <c r="L41" i="2"/>
  <c r="L40" i="2"/>
  <c r="L39" i="2"/>
  <c r="J37" i="2"/>
  <c r="I37" i="2"/>
  <c r="H37" i="2"/>
  <c r="G37" i="2"/>
  <c r="F37" i="2"/>
  <c r="L36" i="2"/>
  <c r="L35" i="2"/>
  <c r="L34" i="2"/>
  <c r="L33" i="2"/>
  <c r="L32" i="2"/>
  <c r="L31" i="2"/>
  <c r="L30" i="2"/>
  <c r="E28" i="12" s="1"/>
  <c r="L29" i="2"/>
  <c r="L28" i="2"/>
  <c r="L27" i="2"/>
  <c r="E25" i="12" s="1"/>
  <c r="L25" i="2"/>
  <c r="E23" i="12" s="1"/>
  <c r="J23" i="2"/>
  <c r="J43" i="2" s="1"/>
  <c r="J49" i="2" s="1"/>
  <c r="I23" i="2"/>
  <c r="H23" i="2"/>
  <c r="G23" i="2"/>
  <c r="F23" i="2"/>
  <c r="L22" i="2"/>
  <c r="L21" i="2"/>
  <c r="E19" i="12" s="1"/>
  <c r="L20" i="2"/>
  <c r="E18" i="12" s="1"/>
  <c r="L19" i="2"/>
  <c r="L18" i="2"/>
  <c r="L17" i="2"/>
  <c r="E15" i="12" s="1"/>
  <c r="L16" i="2"/>
  <c r="L15" i="2"/>
  <c r="E13" i="12" s="1"/>
  <c r="L14" i="2"/>
  <c r="L13" i="2"/>
  <c r="E11" i="12" s="1"/>
  <c r="L12" i="2"/>
  <c r="E10" i="12" s="1"/>
  <c r="L11" i="2"/>
  <c r="E9" i="12" s="1"/>
  <c r="L10" i="2"/>
  <c r="E8" i="12" s="1"/>
  <c r="L8" i="2"/>
  <c r="E6" i="12" s="1"/>
  <c r="M1" i="2"/>
  <c r="I1" i="2"/>
  <c r="D1" i="2"/>
  <c r="R34" i="1"/>
  <c r="R35" i="1" s="1"/>
  <c r="L40" i="12" s="1"/>
  <c r="S32" i="1"/>
  <c r="L30" i="1"/>
  <c r="L25" i="1"/>
  <c r="I23" i="1"/>
  <c r="I22" i="1"/>
  <c r="I21" i="1"/>
  <c r="R13" i="1"/>
  <c r="L5" i="1"/>
  <c r="M42" i="2" l="1"/>
  <c r="M16" i="2"/>
  <c r="M31" i="2"/>
  <c r="A36" i="21"/>
  <c r="M33" i="2"/>
  <c r="L39" i="12"/>
  <c r="M36" i="2"/>
  <c r="M32" i="2"/>
  <c r="D39" i="12"/>
  <c r="F39" i="12" s="1"/>
  <c r="M20" i="2"/>
  <c r="M28" i="2"/>
  <c r="M18" i="2"/>
  <c r="M22" i="2"/>
  <c r="M39" i="2"/>
  <c r="D33" i="12"/>
  <c r="F33" i="12" s="1"/>
  <c r="M14" i="2"/>
  <c r="E37" i="3"/>
  <c r="L48" i="2" s="1"/>
  <c r="M48" i="2" s="1"/>
  <c r="M12" i="12"/>
  <c r="L27" i="12"/>
  <c r="L44" i="2"/>
  <c r="M44" i="2" s="1"/>
  <c r="L8" i="9"/>
  <c r="K13" i="9"/>
  <c r="L13" i="9" s="1"/>
  <c r="F19" i="12"/>
  <c r="E20" i="12"/>
  <c r="F20" i="12" s="1"/>
  <c r="E40" i="12"/>
  <c r="F40" i="12" s="1"/>
  <c r="M30" i="2"/>
  <c r="F28" i="12"/>
  <c r="F26" i="12"/>
  <c r="E35" i="12"/>
  <c r="F25" i="12"/>
  <c r="I43" i="2"/>
  <c r="I49" i="2" s="1"/>
  <c r="H43" i="2"/>
  <c r="H49" i="2" s="1"/>
  <c r="G43" i="2"/>
  <c r="G49" i="2" s="1"/>
  <c r="L37" i="2"/>
  <c r="P12" i="3" s="1"/>
  <c r="M25" i="2"/>
  <c r="F43" i="2"/>
  <c r="F49" i="2" s="1"/>
  <c r="M17" i="2"/>
  <c r="F15" i="12"/>
  <c r="E37" i="12"/>
  <c r="F37" i="12" s="1"/>
  <c r="F13" i="12"/>
  <c r="M15" i="2"/>
  <c r="E12" i="12"/>
  <c r="F12" i="12" s="1"/>
  <c r="F11" i="12"/>
  <c r="M13" i="2"/>
  <c r="M12" i="2"/>
  <c r="F10" i="12"/>
  <c r="M11" i="2"/>
  <c r="F9" i="12"/>
  <c r="M10" i="2"/>
  <c r="L23" i="2"/>
  <c r="F6" i="12"/>
  <c r="M27" i="2"/>
  <c r="J28" i="12"/>
  <c r="L28" i="12" s="1"/>
  <c r="D23" i="12"/>
  <c r="F23" i="12" s="1"/>
  <c r="M45" i="2"/>
  <c r="M21" i="2"/>
  <c r="F18" i="11"/>
  <c r="F22" i="11" s="1"/>
  <c r="M12" i="3"/>
  <c r="D36" i="3"/>
  <c r="J31" i="12" s="1"/>
  <c r="L31" i="12" s="1"/>
  <c r="M25" i="3"/>
  <c r="D8" i="12"/>
  <c r="F8" i="12" s="1"/>
  <c r="B32" i="21"/>
  <c r="D33" i="21" s="1"/>
  <c r="F34" i="21"/>
  <c r="H35" i="21"/>
  <c r="C44" i="21"/>
  <c r="N12" i="16"/>
  <c r="N20" i="16"/>
  <c r="L25" i="16"/>
  <c r="L23" i="16"/>
  <c r="L21" i="16"/>
  <c r="B11" i="21"/>
  <c r="D12" i="21" s="1"/>
  <c r="L12" i="16"/>
  <c r="E66" i="21"/>
  <c r="N58" i="16"/>
  <c r="M29" i="2"/>
  <c r="D22" i="3"/>
  <c r="M47" i="2"/>
  <c r="D46" i="3"/>
  <c r="J32" i="12" s="1"/>
  <c r="L32" i="12" s="1"/>
  <c r="M8" i="2"/>
  <c r="D38" i="12"/>
  <c r="F38" i="12" s="1"/>
  <c r="O9" i="11"/>
  <c r="M18" i="11"/>
  <c r="O18" i="11" s="1"/>
  <c r="O30" i="11"/>
  <c r="M39" i="11"/>
  <c r="F39" i="11"/>
  <c r="F43" i="11" s="1"/>
  <c r="K37" i="2"/>
  <c r="K19" i="12"/>
  <c r="M19" i="12" s="1"/>
  <c r="K23" i="2"/>
  <c r="D17" i="12"/>
  <c r="F17" i="12" s="1"/>
  <c r="M34" i="2"/>
  <c r="D35" i="12" l="1"/>
  <c r="F35" i="12" s="1"/>
  <c r="D37" i="3"/>
  <c r="K26" i="12"/>
  <c r="L26" i="12" s="1"/>
  <c r="M37" i="2"/>
  <c r="L43" i="2"/>
  <c r="L49" i="2" s="1"/>
  <c r="E21" i="12"/>
  <c r="E41" i="12" s="1"/>
  <c r="K25" i="12"/>
  <c r="J30" i="12"/>
  <c r="L30" i="12" s="1"/>
  <c r="N15" i="16"/>
  <c r="N17" i="16" s="1"/>
  <c r="N57" i="16" s="1"/>
  <c r="N13" i="16"/>
  <c r="N25" i="16"/>
  <c r="N23" i="16"/>
  <c r="N21" i="16"/>
  <c r="H69" i="21"/>
  <c r="E68" i="21"/>
  <c r="H73" i="21" s="1"/>
  <c r="C77" i="21" s="1"/>
  <c r="L15" i="16"/>
  <c r="L17" i="16" s="1"/>
  <c r="L57" i="16" s="1"/>
  <c r="L13" i="16"/>
  <c r="K43" i="2"/>
  <c r="M23" i="2"/>
  <c r="D21" i="12"/>
  <c r="O39" i="11"/>
  <c r="M43" i="11"/>
  <c r="O43" i="11" s="1"/>
  <c r="K33" i="12" l="1"/>
  <c r="E10" i="21"/>
  <c r="N59" i="16"/>
  <c r="L59" i="16"/>
  <c r="E9" i="21"/>
  <c r="F21" i="12"/>
  <c r="D41" i="12"/>
  <c r="F41" i="12" s="1"/>
  <c r="M43" i="2"/>
  <c r="K49" i="2"/>
  <c r="M49" i="2" s="1"/>
  <c r="J25" i="12"/>
  <c r="F10" i="21" l="1"/>
  <c r="G10" i="21"/>
  <c r="H10" i="21"/>
  <c r="E43" i="21"/>
  <c r="H14" i="21"/>
  <c r="G45" i="21"/>
  <c r="C47" i="21"/>
  <c r="G47" i="21"/>
  <c r="G43" i="21"/>
  <c r="H49" i="21"/>
  <c r="C51" i="21" s="1"/>
  <c r="E47" i="21"/>
  <c r="C45" i="21"/>
  <c r="G9" i="21"/>
  <c r="G13" i="21"/>
  <c r="H51" i="21"/>
  <c r="C58" i="21" s="1"/>
  <c r="H58" i="21" s="1"/>
  <c r="C76" i="21" s="1"/>
  <c r="C78" i="21" s="1"/>
  <c r="H79" i="21" s="1"/>
  <c r="H82" i="21" s="1"/>
  <c r="C43" i="21"/>
  <c r="F9" i="21"/>
  <c r="F13" i="21"/>
  <c r="H13" i="21"/>
  <c r="H9" i="21"/>
  <c r="E45" i="21"/>
  <c r="L25" i="12"/>
  <c r="J33" i="12"/>
  <c r="L33" i="12" s="1"/>
</calcChain>
</file>

<file path=xl/sharedStrings.xml><?xml version="1.0" encoding="utf-8"?>
<sst xmlns="http://schemas.openxmlformats.org/spreadsheetml/2006/main" count="922" uniqueCount="553">
  <si>
    <t>Charter school</t>
  </si>
  <si>
    <t>County</t>
  </si>
  <si>
    <t>CTDS number</t>
  </si>
  <si>
    <t>Charter name</t>
  </si>
  <si>
    <t>d.b.a. (as applicable)</t>
  </si>
  <si>
    <t>1.</t>
  </si>
  <si>
    <t>$</t>
  </si>
  <si>
    <t>State of Arizona</t>
  </si>
  <si>
    <t>2.</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</si>
  <si>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</si>
  <si>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</si>
  <si>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</si>
  <si>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</si>
  <si>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</si>
  <si>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</si>
  <si>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</si>
  <si>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</si>
  <si>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</si>
  <si>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</si>
  <si>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</si>
  <si>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</si>
  <si>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</si>
  <si>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</si>
  <si>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</si>
  <si>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</si>
  <si>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</si>
  <si>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</si>
  <si>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</si>
  <si>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</si>
  <si>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</si>
  <si>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</si>
  <si>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</si>
  <si>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</si>
  <si>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</si>
  <si>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t xml:space="preserve">4. Percentage increase </t>
  </si>
  <si>
    <t>Signed</t>
  </si>
  <si>
    <t>Title</t>
  </si>
  <si>
    <t xml:space="preserve">  County</t>
  </si>
  <si>
    <t>Yes</t>
  </si>
  <si>
    <t>No</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</si>
  <si>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</si>
  <si>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</si>
  <si>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</si>
  <si>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</si>
  <si>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</si>
  <si>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</si>
  <si>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</si>
  <si>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</si>
  <si>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</si>
  <si>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</si>
  <si>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</si>
  <si>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</si>
  <si>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</si>
  <si>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Pearson (Connexus)</t>
  </si>
  <si>
    <t>PowerSchool (PowerSchool)</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</si>
  <si>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</si>
  <si>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</si>
  <si>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</si>
  <si>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</si>
  <si>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</si>
  <si>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</si>
  <si>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</si>
  <si>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</si>
  <si>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</si>
  <si>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</si>
  <si>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</si>
  <si>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</si>
  <si>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</si>
  <si>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</si>
  <si>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</si>
  <si>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</si>
  <si>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</si>
  <si>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</si>
  <si>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</si>
  <si>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</si>
  <si>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</si>
  <si>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</si>
  <si>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</si>
  <si>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</si>
  <si>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</si>
  <si>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</si>
  <si>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</si>
  <si>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</si>
  <si>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</si>
  <si>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</si>
  <si>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</si>
  <si>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</si>
  <si>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</si>
  <si>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</si>
  <si>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</si>
  <si>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</si>
  <si>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</si>
  <si>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</si>
  <si>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</si>
  <si>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</si>
  <si>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</si>
  <si>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</si>
  <si>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</si>
  <si>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</si>
  <si>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</si>
  <si>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</si>
  <si>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</si>
  <si>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</si>
  <si>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</si>
  <si>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</si>
  <si>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</si>
  <si>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</si>
  <si>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</si>
  <si>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</si>
  <si>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</si>
  <si>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</si>
  <si>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</si>
  <si>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</si>
  <si>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</si>
  <si>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</si>
  <si>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</si>
  <si>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</si>
  <si>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</si>
  <si>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</si>
  <si>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</si>
  <si>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</si>
  <si>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</si>
  <si>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</si>
  <si>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</si>
  <si>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</si>
  <si>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</si>
  <si>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</si>
  <si>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</si>
  <si>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</si>
  <si>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</si>
  <si>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</si>
  <si>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</si>
  <si>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</si>
  <si>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</si>
  <si>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</si>
  <si>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</si>
  <si>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</si>
  <si>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</si>
  <si>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</si>
  <si>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</si>
  <si>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</si>
  <si>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</si>
  <si>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</si>
  <si>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</si>
  <si>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</si>
  <si>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</si>
  <si>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</si>
  <si>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</si>
  <si>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</si>
  <si>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</si>
  <si>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</si>
  <si>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</si>
  <si>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</si>
  <si>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</si>
  <si>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</si>
  <si>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</si>
  <si>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</si>
  <si>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</si>
  <si>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</si>
  <si>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</si>
  <si>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</si>
  <si>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</si>
  <si>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</si>
  <si>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</si>
  <si>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</si>
  <si>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</si>
  <si>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</si>
  <si>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</si>
  <si>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</si>
  <si>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</si>
  <si>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</si>
  <si>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</si>
  <si>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</si>
  <si>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</si>
  <si>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</si>
  <si>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</si>
  <si>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</si>
  <si>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</si>
  <si>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</si>
  <si>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</si>
  <si>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</si>
  <si>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</si>
  <si>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</si>
  <si>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</si>
  <si>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</si>
  <si>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</si>
  <si>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</si>
  <si>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</si>
  <si>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</si>
  <si>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</si>
  <si>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</si>
  <si>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</si>
  <si>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</si>
  <si>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</si>
  <si>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</si>
  <si>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</si>
  <si>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</si>
  <si>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</si>
  <si>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</si>
  <si>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</si>
  <si>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</si>
  <si>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</si>
  <si>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</si>
  <si>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</si>
  <si>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</si>
  <si>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</si>
  <si>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</si>
  <si>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</si>
  <si>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</si>
  <si>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</si>
  <si>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</si>
  <si>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</si>
  <si>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</si>
  <si>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</si>
  <si>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</si>
  <si>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</si>
  <si>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</si>
  <si>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</si>
  <si>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</si>
  <si>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</si>
  <si>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</si>
  <si>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</si>
  <si>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</si>
  <si>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</si>
  <si>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</si>
  <si>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</si>
  <si>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</si>
  <si>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</si>
  <si>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</si>
  <si>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</si>
  <si>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</si>
  <si>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</si>
  <si>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</si>
  <si>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</si>
  <si>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</si>
  <si>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</si>
  <si>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</si>
  <si>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</si>
  <si>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</si>
  <si>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</si>
  <si>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</si>
  <si>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</si>
  <si>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</si>
  <si>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</si>
  <si>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</si>
  <si>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</si>
  <si>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</si>
  <si>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</si>
  <si>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</si>
  <si>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</si>
  <si>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</si>
  <si>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t>540 Joint career &amp; tech. ed. &amp; voc. ed. center</t>
  </si>
  <si>
    <t>Percentage increase</t>
  </si>
  <si>
    <t>All Projects</t>
  </si>
  <si>
    <t>x</t>
  </si>
  <si>
    <t>(c) Total (must agree to line 3 above)</t>
  </si>
  <si>
    <t>(a) Deficit balance</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</si>
  <si>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</si>
  <si>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</si>
  <si>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</si>
  <si>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</si>
  <si>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</si>
  <si>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</si>
  <si>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</si>
  <si>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</si>
  <si>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</si>
  <si>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</si>
  <si>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</si>
  <si>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</si>
  <si>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</si>
  <si>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</si>
  <si>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</si>
  <si>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</si>
  <si>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</si>
  <si>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</si>
  <si>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</si>
  <si>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</si>
  <si>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</si>
  <si>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</si>
  <si>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</si>
  <si>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</si>
  <si>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</si>
  <si>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</si>
  <si>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</si>
  <si>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</si>
  <si>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</si>
  <si>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</si>
  <si>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</si>
  <si>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</si>
  <si>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</si>
  <si>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</si>
  <si>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</si>
  <si>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</si>
  <si>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</si>
  <si>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</si>
  <si>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</si>
  <si>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</si>
  <si>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</si>
  <si>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</si>
  <si>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</si>
  <si>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</si>
  <si>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</si>
  <si>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</si>
  <si>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</si>
  <si>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</si>
  <si>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</si>
  <si>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</si>
  <si>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</si>
  <si>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</si>
  <si>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</si>
  <si>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</si>
  <si>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</si>
  <si>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</si>
  <si>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</si>
  <si>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</si>
  <si>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</si>
  <si>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</si>
  <si>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</si>
  <si>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</si>
  <si>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</si>
  <si>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</si>
  <si>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</si>
  <si>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</si>
  <si>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</si>
  <si>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</si>
  <si>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</si>
  <si>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</si>
  <si>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</si>
  <si>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</si>
  <si>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</si>
  <si>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</si>
  <si>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</si>
  <si>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</si>
  <si>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</si>
  <si>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</si>
  <si>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</si>
  <si>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</si>
  <si>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</si>
  <si>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</si>
  <si>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</si>
  <si>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</si>
  <si>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</si>
  <si>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</si>
  <si>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</si>
  <si>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</si>
  <si>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</si>
  <si>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</si>
  <si>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</si>
  <si>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</si>
  <si>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</si>
  <si>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</si>
  <si>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</si>
  <si>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</si>
  <si>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</si>
  <si>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</si>
  <si>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</si>
  <si>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</si>
  <si>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</si>
  <si>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</si>
  <si>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</si>
  <si>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</si>
  <si>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</si>
  <si>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</si>
  <si>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</si>
  <si>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</si>
  <si>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</si>
  <si>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</si>
  <si>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</si>
  <si>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</si>
  <si>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</si>
  <si>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</si>
  <si>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</si>
  <si>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</si>
  <si>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</si>
  <si>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</si>
  <si>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</si>
  <si>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</si>
  <si>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</si>
  <si>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</si>
  <si>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</si>
  <si>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</si>
  <si>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</si>
  <si>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</si>
  <si>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</si>
  <si>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</si>
  <si>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</si>
  <si>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</si>
  <si>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</si>
  <si>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</si>
  <si>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</si>
  <si>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</si>
  <si>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</si>
  <si>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</si>
  <si>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</si>
  <si>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</si>
  <si>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</si>
  <si>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</si>
  <si>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</si>
  <si>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</si>
  <si>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</si>
  <si>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</si>
  <si>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</si>
  <si>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</si>
  <si>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</si>
  <si>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</si>
  <si>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</si>
  <si>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</si>
  <si>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</si>
  <si>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</si>
  <si>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</si>
  <si>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</si>
  <si>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</si>
  <si>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</si>
  <si>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</si>
  <si>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</si>
  <si>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</si>
  <si>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</si>
  <si>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</si>
  <si>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</si>
  <si>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</si>
  <si>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</si>
  <si>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t>Updated contribution rates.</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</si>
  <si>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</si>
  <si>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</si>
  <si>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</si>
  <si>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</si>
  <si>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</si>
  <si>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</si>
  <si>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</si>
  <si>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</si>
  <si>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</si>
  <si>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</si>
  <si>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</si>
  <si>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</si>
  <si>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</si>
  <si>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</si>
  <si>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</si>
  <si>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</si>
  <si>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</si>
  <si>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</si>
  <si>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</si>
  <si>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</si>
  <si>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</si>
  <si>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</si>
  <si>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</si>
  <si>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</si>
  <si>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</si>
  <si>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</si>
  <si>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</si>
  <si>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</si>
  <si>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</si>
  <si>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</si>
  <si>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</si>
  <si>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</si>
  <si>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</si>
  <si>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</si>
  <si>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</si>
  <si>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t>Charter website link of posted budget</t>
  </si>
  <si>
    <t>Charter website link</t>
  </si>
  <si>
    <t>Charter Management Organization (CMO)</t>
  </si>
  <si>
    <t>Education Management Organization (EMO)</t>
  </si>
  <si>
    <t>Single Management (non-profit)</t>
  </si>
  <si>
    <t>Single Management (for-profit)</t>
  </si>
  <si>
    <t>(a) With donor restrictions/Restricted</t>
  </si>
  <si>
    <t>(b) Without donor restrictions/Unrestricted</t>
  </si>
  <si>
    <t>Project 
balances</t>
  </si>
  <si>
    <t>(e) Total project balance (should agree to amount on line 3)</t>
  </si>
  <si>
    <t>Free and Reduced-Price Lunch (FRPL)    (4)</t>
  </si>
  <si>
    <t>Educational Programs for Gifted Pupils (G)     (5)</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</si>
  <si>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Please contact ADE's School Finance Budget Team with questions about completing this section.</t>
    </r>
  </si>
  <si>
    <t>Charter information</t>
  </si>
  <si>
    <t>Schools may use ADE's GIFT20-summary ADM report in AzEDS to estimate FY 2026 eligible student counts.</t>
  </si>
  <si>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</si>
  <si>
    <t>Enter the increase in the capital asset accounts (intangible assets, land and land improvements, site improvements, buildings and building improvements, equipment, and construction in progress) for assets to be acquired by purchase, 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t>
  </si>
  <si>
    <t>Debt service amounts should include budgeted interest and redemption of principal for all programs. Interest should be budgeted expenses for object code 6850. Redemption of principal should include budgeted principal payments on finance leases and other long-term debt that will be recorded as a reduction of the related liability.</t>
  </si>
  <si>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on finance leases and other long-term debt that will be recorded as a reduction of the related liability. </t>
  </si>
  <si>
    <t>FY 2026</t>
  </si>
  <si>
    <r>
      <t>We hereby certify that the budget for the school year 202</t>
    </r>
    <r>
      <rPr>
        <sz val="10"/>
        <rFont val="Arial"/>
        <family val="2"/>
      </rPr>
      <t>6 was</t>
    </r>
  </si>
  <si>
    <r>
      <t>Total budgeted revenues for fiscal year 202</t>
    </r>
    <r>
      <rPr>
        <sz val="10"/>
        <rFont val="Arial"/>
        <family val="2"/>
      </rPr>
      <t>5</t>
    </r>
  </si>
  <si>
    <t>Estimated revenues by source for fiscal year 2026</t>
  </si>
  <si>
    <r>
      <t>The FY 202</t>
    </r>
    <r>
      <rPr>
        <sz val="10"/>
        <rFont val="Arial"/>
        <family val="2"/>
      </rPr>
      <t>6 budget file for the version described at left will be uploaded through the</t>
    </r>
  </si>
  <si>
    <r>
      <t>Check box if the school is new and will begin operations in FY 202</t>
    </r>
    <r>
      <rPr>
        <sz val="10"/>
        <rFont val="Arial"/>
        <family val="2"/>
      </rPr>
      <t>6.</t>
    </r>
  </si>
  <si>
    <r>
      <t>1. Average salary of all teachers employed in budget year 202</t>
    </r>
    <r>
      <rPr>
        <sz val="10"/>
        <rFont val="Arial"/>
        <family val="2"/>
      </rPr>
      <t>6</t>
    </r>
  </si>
  <si>
    <r>
      <t>2. Average salary of all teachers employed in prior year 202</t>
    </r>
    <r>
      <rPr>
        <sz val="10"/>
        <rFont val="Arial"/>
        <family val="2"/>
      </rPr>
      <t>5</t>
    </r>
  </si>
  <si>
    <r>
      <t>3. Increase in average teacher salary from the prior year 202</t>
    </r>
    <r>
      <rPr>
        <sz val="10"/>
        <rFont val="Arial"/>
        <family val="2"/>
      </rPr>
      <t>5</t>
    </r>
  </si>
  <si>
    <r>
      <t>Prior year 202</t>
    </r>
    <r>
      <rPr>
        <sz val="10"/>
        <rFont val="Arial"/>
        <family val="2"/>
      </rPr>
      <t>5</t>
    </r>
  </si>
  <si>
    <r>
      <t>Budget year 202</t>
    </r>
    <r>
      <rPr>
        <sz val="10"/>
        <rFont val="Arial"/>
        <family val="2"/>
      </rPr>
      <t>6</t>
    </r>
  </si>
  <si>
    <r>
      <t>Prior year
202</t>
    </r>
    <r>
      <rPr>
        <sz val="10"/>
        <rFont val="Arial"/>
        <family val="2"/>
      </rPr>
      <t>5</t>
    </r>
  </si>
  <si>
    <r>
      <t>Budget year
202</t>
    </r>
    <r>
      <rPr>
        <sz val="10"/>
        <rFont val="Arial"/>
        <family val="2"/>
      </rPr>
      <t>6</t>
    </r>
  </si>
  <si>
    <r>
      <t>Program 200 prior year 202</t>
    </r>
    <r>
      <rPr>
        <sz val="10"/>
        <rFont val="Arial"/>
        <family val="2"/>
      </rPr>
      <t>5</t>
    </r>
  </si>
  <si>
    <r>
      <t>Program 200 budget year 202</t>
    </r>
    <r>
      <rPr>
        <sz val="10"/>
        <rFont val="Arial"/>
        <family val="2"/>
      </rPr>
      <t>6</t>
    </r>
  </si>
  <si>
    <r>
      <t>Prior year  202</t>
    </r>
    <r>
      <rPr>
        <sz val="10"/>
        <rFont val="Arial"/>
        <family val="2"/>
      </rPr>
      <t>5</t>
    </r>
  </si>
  <si>
    <r>
      <t>Average salary of all teachers employed in the budget year 20</t>
    </r>
    <r>
      <rPr>
        <sz val="10"/>
        <rFont val="Arial"/>
        <family val="2"/>
      </rPr>
      <t>26</t>
    </r>
  </si>
  <si>
    <r>
      <t>Average salary of all teachers employed in the prior year 202</t>
    </r>
    <r>
      <rPr>
        <sz val="10"/>
        <rFont val="Arial"/>
        <family val="2"/>
      </rPr>
      <t>5</t>
    </r>
  </si>
  <si>
    <r>
      <t>Increase in average teacher salary from the prior year 202</t>
    </r>
    <r>
      <rPr>
        <sz val="10"/>
        <rFont val="Arial"/>
        <family val="2"/>
      </rPr>
      <t>5</t>
    </r>
  </si>
  <si>
    <t>Estimated FY 2025 project balances and planned uses in FY 2026 and thereafter</t>
  </si>
  <si>
    <t>FY 2024 final ending project balance</t>
  </si>
  <si>
    <t>(a) FY 2025 revenues</t>
  </si>
  <si>
    <t>(b) FY 2025 expenses, indirect costs, reversions, capital acquisitions, and redemption of principal</t>
  </si>
  <si>
    <t xml:space="preserve">(b) Planned to be spent in FY 2026 </t>
  </si>
  <si>
    <t>(c) Planned to be spent in FY 2026 to support operations of other school sites within the same charter management organization</t>
  </si>
  <si>
    <t>(d) Maintained for spending after FY 2026</t>
  </si>
  <si>
    <t>Estimated FY 2025 ending project balance and planned uses</t>
  </si>
  <si>
    <t>Estimated FY 2025 ending project balance</t>
  </si>
  <si>
    <t xml:space="preserve">FY 2025 activity, year-to-date and estimated through June 30 </t>
  </si>
  <si>
    <t>This tab presents information on the amount and planned use of the Charter's project balances to increase transparency and provide decision-makers, other stakeholders, and the public more complete financial information. Other than the FY 2024 ending project balance amounts, all amounts included on this tab are estimates.</t>
  </si>
  <si>
    <r>
      <t>If the final ending project balance does not agree with the submitted FY 202</t>
    </r>
    <r>
      <rPr>
        <sz val="10"/>
        <rFont val="Arial"/>
        <family val="2"/>
      </rPr>
      <t>4 AFR, revise the AFR and resubmit to ADE</t>
    </r>
  </si>
  <si>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6 ADM20 should be used, available via ADE Connect, AzEDS Portal. Schools approved to provide at least 200 days of instruction will adjust their FY 2027 budget for discrepancies between the FY 2026 100th-day and 200th-day student counts. (The Total K-UE report is used for K-8 and/or 9-12)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</si>
  <si>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for 200 days of instruction by ADE and its sponsor. Schools must receive approval from ADE for FY 2026 prior to June 1, 2025. Please contact ADE's School Finance account analyst team by email with questions concerning at least 200 days of instruction at SFAnalystTeam@azed.gov.</t>
    </r>
  </si>
  <si>
    <r>
      <t>FY 202</t>
    </r>
    <r>
      <rPr>
        <sz val="10"/>
        <rFont val="Arial"/>
        <family val="2"/>
      </rPr>
      <t>4 nonfederal audit service actual expense</t>
    </r>
  </si>
  <si>
    <r>
      <t>Schools must include audit costs for FY 202</t>
    </r>
    <r>
      <rPr>
        <sz val="10"/>
        <rFont val="Arial"/>
        <family val="2"/>
      </rPr>
      <t>6 under "Selected expenses by type" on Budget page 2 to receive this increase. Enter the amount expended for audit services in FY 2024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</si>
  <si>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4 federal audit service actual expense</t>
    </r>
  </si>
  <si>
    <r>
      <t>Enter the amount expended for audit services in FY 202</t>
    </r>
    <r>
      <rPr>
        <sz val="10"/>
        <rFont val="Arial"/>
        <family val="2"/>
      </rPr>
      <t>4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</si>
  <si>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Schools may use ADE's FRPL20-summary ADM report and/or FRPL30-site summary ADM report in AzEDS to estimate FY 2026 eligible student counts. This weight applies to all students in schools with community eligibility.</t>
  </si>
  <si>
    <r>
      <t>Schools participating in the Arizona State Retirement System should budget at the rate of 12.</t>
    </r>
    <r>
      <rPr>
        <sz val="10"/>
        <rFont val="Arial"/>
        <family val="2"/>
      </rPr>
      <t>00 percent for covered positions. For positions subject to the Alternate Contribution Rate, schools should budget at the rate of 9.75 percent.</t>
    </r>
  </si>
  <si>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within Other Federal Projects on line 17.</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</si>
  <si>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2026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</si>
  <si>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r>
      <t>Schools receive revenues from the Classroom Site Project (CSP) each year. A.R.S. §15-977(G)(1) requires the Joint Legislative Budget Committee to calculate an estimated per pupil amount each year. For FY 202</t>
    </r>
    <r>
      <rPr>
        <sz val="10"/>
        <rFont val="Arial"/>
        <family val="2"/>
      </rPr>
      <t>6, the estimated cash payment is $842 per “Group A weighted” pupil (BSA55 Tab, Total of Non-AOI weighted student count, AOI full-time weighted student count, and AOI part-time weighted student count on row 13). The FY 2026 CSP YTD Payments Reports will be available on ADE’s website beginning in August 2025 at https://schoolfinancereports.azed.gov/. ADE uses schools' FY2026 100th day student count as reported in the schools's FY 2026 ADM20A and ADM30 reports.</t>
    </r>
    <r>
      <rPr>
        <strike/>
        <sz val="10"/>
        <rFont val="Arial"/>
        <family val="2"/>
      </rPr>
      <t xml:space="preserve">
</t>
    </r>
  </si>
  <si>
    <r>
      <t>Report FY 202</t>
    </r>
    <r>
      <rPr>
        <sz val="10"/>
        <rFont val="Arial"/>
        <family val="2"/>
      </rPr>
      <t xml:space="preserve">4 final ending project balances as reported in FY 2024 AFR. If the final ending reserve balance doesn't agree with the FY 2024 AFR, </t>
    </r>
    <r>
      <rPr>
        <u/>
        <sz val="10"/>
        <rFont val="Arial"/>
        <family val="2"/>
      </rPr>
      <t>revise the AFR and resubmit to ADE.</t>
    </r>
  </si>
  <si>
    <r>
      <t>Report FY 202</t>
    </r>
    <r>
      <rPr>
        <sz val="10"/>
        <rFont val="Arial"/>
        <family val="2"/>
      </rPr>
      <t xml:space="preserve">5 revenues. Enter actual amounts to date plus estimated amounts for the remainder of FY 2025, including all FY 2025 amounts that the charter anticipates receiving during the encumbrance period. </t>
    </r>
  </si>
  <si>
    <r>
      <t>Report FY 202</t>
    </r>
    <r>
      <rPr>
        <sz val="10"/>
        <rFont val="Arial"/>
        <family val="2"/>
      </rPr>
      <t>5 expenses, indirect costs, reversions, capital acquisitions, and redemption of principal in all projects. Enter actual amounts to date plus estimated amounts for the remainder of FY 2025, including all FY 2025 amounts that the charter anticipates spending during the encumbrance period.</t>
    </r>
  </si>
  <si>
    <r>
      <t>Report FY 202</t>
    </r>
    <r>
      <rPr>
        <sz val="10"/>
        <rFont val="Arial"/>
        <family val="2"/>
      </rPr>
      <t>5 estimated restricted ending project balance amounts. These amounts consist of donor-restricted or legally obligated resources. For-profit charter schools may report estimated appropriated retained earnings.</t>
    </r>
  </si>
  <si>
    <r>
      <t>Report FY 202</t>
    </r>
    <r>
      <rPr>
        <sz val="10"/>
        <rFont val="Arial"/>
        <family val="2"/>
      </rPr>
      <t>5 estimated unrestricted ending project balance amounts.  These are amounts available for use in general operations and not subject to donor or grantor restrictions or legal obligations. For-profit charter schools may report estimated unappropriated retained earnings.</t>
    </r>
  </si>
  <si>
    <r>
      <t>For projects with a negative estimated FY 202</t>
    </r>
    <r>
      <rPr>
        <sz val="10"/>
        <rFont val="Arial"/>
        <family val="2"/>
      </rPr>
      <t xml:space="preserve">5 ending project balance, enter the negative project balance amount on this line. These projects have deficit balances because expenses exceeded available resources from current revenues and prior year project balances and reduce the amount of resources available in future years. </t>
    </r>
  </si>
  <si>
    <r>
      <t>Report FY 202</t>
    </r>
    <r>
      <rPr>
        <sz val="10"/>
        <rFont val="Arial"/>
        <family val="2"/>
      </rPr>
      <t xml:space="preserve">5 estimated ending project balance amounts that the Charter plans to spend to support FY 2026 budgeted spending after using all available FY 2026 revenues. Any nonspendable amounts included in ending project balance such as current prepaid assets should be included in this line if the charter plans to use them in FY 2026. Otherwise, such nonspendable assets should be included on line 4(d) based on the charter's plan to use them to benefit a future year, as applicable. </t>
    </r>
  </si>
  <si>
    <r>
      <t>Report FY 202</t>
    </r>
    <r>
      <rPr>
        <sz val="10"/>
        <rFont val="Arial"/>
        <family val="2"/>
      </rPr>
      <t xml:space="preserve">5 estimated ending project balance amounts that the charter plans to spend in FY 2026 to support the operation of other school sites that operate within the same charter management organization (CMO). </t>
    </r>
    <r>
      <rPr>
        <u/>
        <sz val="10"/>
        <rFont val="Arial"/>
        <family val="2"/>
      </rPr>
      <t xml:space="preserve">This line only applies to charter schools that operate under the same CMO. </t>
    </r>
    <r>
      <rPr>
        <sz val="10"/>
        <rFont val="Arial"/>
        <family val="2"/>
      </rPr>
      <t xml:space="preserve"> CMO detail is reported on the contact page in this form.</t>
    </r>
  </si>
  <si>
    <r>
      <t>Report amounts the charter estimates it will maintain for spending after FY 202</t>
    </r>
    <r>
      <rPr>
        <sz val="10"/>
        <rFont val="Arial"/>
        <family val="2"/>
      </rPr>
      <t>6, including amounts reserved to manage cash flows in future budget years to cover such things as revenue shortfalls, emergencies, and/or other unforeseen circumstances.</t>
    </r>
  </si>
  <si>
    <t>Base estimated revenues by source for FY 2026 on the best information available at the time the budget is prepared. Estimated revenues may be more or less than estimated expenses.</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</si>
  <si>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2025 budget forms. However, the cells have not been protected so users may also enter the information manually. To bring forward amounts automatically, the most recently revised FY 2025 budget must be saved as budget25.xlsx in the C:\CSFORMS folder. If the file is not named budget25.xlsx, the formulas will not function properly. Excel will ask the user to update information when the budget26.xlsx file is opened. Users should review amounts reported in the prior year column to ensure they agree to the school’s most recently revised FY 2025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</si>
  <si>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In accordance with A.R.S. §15-185(M), schools that maintain a website must post a copy of the proposed budget or budget summary and hearing notification on the school's website. Schools should paste a clickable link on the Cover tab to their school web page where the proposed budget or budget summary was posted.</t>
  </si>
  <si>
    <t>Added a line for schools to paste a clickable link to their web page where the proposed budget or budget summary was posted. ADE no longer requires schools to send an email to School Finance with a clickable link to its website, if the link is provided in this space.</t>
  </si>
  <si>
    <r>
      <rPr>
        <sz val="10"/>
        <rFont val="Arial"/>
        <family val="2"/>
      </rPr>
      <t>Updated the estimated CSP per pupil amount.</t>
    </r>
    <r>
      <rPr>
        <strike/>
        <sz val="10"/>
        <rFont val="Arial"/>
        <family val="2"/>
      </rPr>
      <t xml:space="preserve"> </t>
    </r>
  </si>
  <si>
    <t>4.a</t>
  </si>
  <si>
    <t>4.b</t>
  </si>
  <si>
    <t>4.c</t>
  </si>
  <si>
    <t>4.d</t>
  </si>
  <si>
    <t>4.e</t>
  </si>
  <si>
    <t>4.f</t>
  </si>
  <si>
    <t>4.g</t>
  </si>
  <si>
    <t>4.h</t>
  </si>
  <si>
    <t>Dr. Jennifer Herrera</t>
  </si>
  <si>
    <t>jherrera@tiak.12.com</t>
  </si>
  <si>
    <t>Claudina Douglas</t>
  </si>
  <si>
    <t>Comments on average salary calculation (optional):  Salaries do not include stipends or performance pay.</t>
  </si>
  <si>
    <t>Quickbooks Enterprise</t>
  </si>
  <si>
    <t>Tucson International Academy</t>
  </si>
  <si>
    <t>61-1414493</t>
  </si>
  <si>
    <t>2700 W. Broadway Rd</t>
  </si>
  <si>
    <t>Tucson</t>
  </si>
  <si>
    <t>AZ</t>
  </si>
  <si>
    <t>Pima</t>
  </si>
  <si>
    <t>108714000</t>
  </si>
  <si>
    <t>https://tucsoninternationalacademy.com/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</si>
</sst>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E+00\);\(\-0E+00\)"/>
  </numFmts>
  <fonts count="49">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b/>
      <sz val="10"/>
      <color theme="1"/>
      <name val="Arial"/>
      <family val="2"/>
    </font>
    <font>
      <strike/>
      <sz val="9"/>
      <color rgb="FFFF0000"/>
      <name val="Arial"/>
      <family val="2"/>
    </font>
    <font>
      <u/>
      <sz val="10"/>
      <name val="Arial"/>
      <family val="2"/>
    </font>
    <font>
      <sz val="10"/>
      <name val="Arial"/>
      <family val="2"/>
    </font>
  </fonts>
  <fills count="11">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2451857051302"/>
        <bgColor indexed="64"/>
      </patternFill>
    </fill>
    <fill>
      <patternFill patternType="solid">
        <fgColor rgb="FFFFFFCC"/>
        <bgColor indexed="64"/>
      </patternFill>
    </fill>
    <fill>
      <patternFill patternType="solid">
        <fgColor theme="0" tint="-0.14990691854609822"/>
        <bgColor indexed="64"/>
      </patternFill>
    </fill>
    <fill>
      <patternFill patternType="solid">
        <fgColor rgb="FF969696"/>
        <bgColor indexed="64"/>
      </patternFill>
    </fill>
    <fill>
      <patternFill patternType="solid">
        <fgColor theme="0" tint="-0.1498458815271462"/>
        <bgColor indexed="64"/>
      </patternFill>
    </fill>
  </fills>
  <borders count="3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5" fillId="2" borderId="0"/>
    <xf numFmtId="0" fontId="48" fillId="0" borderId="0"/>
    <xf numFmtId="0" fontId="1" fillId="0" borderId="0"/>
  </cellStyleXfs>
  <cellXfs count="614">
    <xf numFmtId="0" fontId="0" fillId="0" borderId="0" xfId="0"/>
    <xf numFmtId="0" fontId="2" fillId="0" borderId="0" xfId="0" applyFont="1" applyAlignment="1">
      <alignment horizontal="left"/>
    </xf>
    <xf numFmtId="49" fontId="0" fillId="0" borderId="1" xfId="0" applyNumberFormat="1" applyBorder="1" applyAlignment="1" applyProtection="1">
      <alignment horizontal="center"/>
      <protection locked="0"/>
    </xf>
    <xf numFmtId="0" fontId="29"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xf>
    <xf numFmtId="38" fontId="0" fillId="0" borderId="2" xfId="0" applyNumberFormat="1" applyBorder="1" applyProtection="1">
      <protection locked="0"/>
    </xf>
    <xf numFmtId="38" fontId="0" fillId="0" borderId="3" xfId="0" applyNumberFormat="1" applyBorder="1" applyProtection="1">
      <protection locked="0"/>
    </xf>
    <xf numFmtId="38" fontId="0" fillId="0" borderId="2" xfId="0" applyNumberFormat="1" applyBorder="1" applyAlignment="1" applyProtection="1">
      <alignment horizontal="right"/>
      <protection locked="0"/>
    </xf>
    <xf numFmtId="3" fontId="0" fillId="0" borderId="1" xfId="0" applyNumberFormat="1" applyBorder="1" applyProtection="1">
      <protection locked="0"/>
    </xf>
    <xf numFmtId="173" fontId="0" fillId="0" borderId="2" xfId="0" applyNumberFormat="1" applyBorder="1" applyAlignment="1" applyProtection="1">
      <alignment horizontal="right"/>
      <protection locked="0"/>
    </xf>
    <xf numFmtId="173" fontId="0" fillId="0" borderId="3" xfId="0" applyNumberFormat="1" applyBorder="1" applyProtection="1">
      <protection locked="0"/>
    </xf>
    <xf numFmtId="173" fontId="0" fillId="0" borderId="2" xfId="0" applyNumberFormat="1" applyBorder="1" applyProtection="1">
      <protection locked="0"/>
    </xf>
    <xf numFmtId="165" fontId="0" fillId="0" borderId="1"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3" xfId="0" applyNumberFormat="1" applyBorder="1" applyAlignment="1" applyProtection="1">
      <alignment horizontal="right"/>
      <protection locked="0"/>
    </xf>
    <xf numFmtId="38" fontId="0" fillId="0" borderId="3" xfId="0" applyNumberFormat="1" applyBorder="1" applyAlignment="1" applyProtection="1">
      <alignment horizontal="right"/>
      <protection locked="0"/>
    </xf>
    <xf numFmtId="38" fontId="0" fillId="0" borderId="2" xfId="0" applyNumberFormat="1" applyBorder="1" applyAlignment="1" applyProtection="1">
      <alignment vertical="center"/>
      <protection locked="0"/>
    </xf>
    <xf numFmtId="38" fontId="0" fillId="0" borderId="3"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1"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1"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0" fontId="2" fillId="0" borderId="0" xfId="8" applyFont="1" applyAlignment="1">
      <alignment horizontal="right"/>
    </xf>
    <xf numFmtId="49" fontId="2" fillId="0" borderId="0" xfId="8" applyNumberFormat="1" applyFont="1" applyAlignment="1">
      <alignment horizontal="center"/>
    </xf>
    <xf numFmtId="0" fontId="13" fillId="0" borderId="0" xfId="8" applyFont="1"/>
    <xf numFmtId="49" fontId="2" fillId="0" borderId="0" xfId="8" applyNumberFormat="1" applyFont="1" applyAlignment="1">
      <alignment horizontal="left"/>
    </xf>
    <xf numFmtId="0" fontId="28"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2"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2" fillId="4" borderId="24" xfId="6" applyFont="1" applyFill="1" applyBorder="1" applyAlignment="1" applyProtection="1">
      <alignment horizontal="left"/>
    </xf>
    <xf numFmtId="0" fontId="32"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1"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1"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2" fillId="4" borderId="24" xfId="6" applyFont="1" applyFill="1" applyBorder="1" applyProtection="1"/>
    <xf numFmtId="170" fontId="0" fillId="0" borderId="24" xfId="0" applyNumberFormat="1" applyBorder="1"/>
    <xf numFmtId="0" fontId="27" fillId="0" borderId="20" xfId="0" applyFont="1" applyBorder="1"/>
    <xf numFmtId="0" fontId="27"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1" xfId="0" quotePrefix="1" applyNumberFormat="1" applyBorder="1"/>
    <xf numFmtId="0" fontId="17" fillId="4" borderId="0" xfId="0" applyFont="1" applyFill="1"/>
    <xf numFmtId="0" fontId="39" fillId="4" borderId="0" xfId="0" applyFont="1" applyFill="1"/>
    <xf numFmtId="49" fontId="40" fillId="0" borderId="0" xfId="8" applyNumberFormat="1" applyFont="1" applyAlignment="1">
      <alignment horizontal="left"/>
    </xf>
    <xf numFmtId="0" fontId="40" fillId="0" borderId="0" xfId="8" applyFont="1" applyAlignment="1">
      <alignment horizontal="right"/>
    </xf>
    <xf numFmtId="49" fontId="16" fillId="0" borderId="0" xfId="8" applyNumberFormat="1" applyFont="1" applyAlignment="1">
      <alignment horizontal="center"/>
    </xf>
    <xf numFmtId="164" fontId="2" fillId="0" borderId="0" xfId="8" applyNumberFormat="1" applyFont="1"/>
    <xf numFmtId="0" fontId="34" fillId="0" borderId="0" xfId="8" applyFont="1"/>
    <xf numFmtId="164" fontId="0" fillId="0" borderId="0" xfId="8" applyNumberFormat="1" applyFont="1" applyAlignment="1">
      <alignment horizontal="left" wrapText="1"/>
    </xf>
    <xf numFmtId="4" fontId="0" fillId="0" borderId="0" xfId="0" applyNumberFormat="1"/>
    <xf numFmtId="0" fontId="12" fillId="0" borderId="0" xfId="0" applyFont="1"/>
    <xf numFmtId="0" fontId="0" fillId="0" borderId="3"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3"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1" xfId="2" applyNumberFormat="1" applyFont="1" applyBorder="1" applyProtection="1"/>
    <xf numFmtId="39" fontId="0" fillId="0" borderId="9" xfId="2" applyNumberFormat="1" applyFont="1" applyBorder="1" applyProtection="1"/>
    <xf numFmtId="0" fontId="15" fillId="0" borderId="0" xfId="9" applyFill="1" applyAlignment="1">
      <alignment vertical="center" wrapText="1"/>
    </xf>
    <xf numFmtId="0" fontId="0" fillId="0" borderId="0" xfId="0" applyAlignment="1">
      <alignment vertical="center"/>
    </xf>
    <xf numFmtId="0" fontId="13" fillId="0" borderId="0" xfId="8" applyFont="1" applyAlignment="1">
      <alignment horizontal="right"/>
    </xf>
    <xf numFmtId="39" fontId="13" fillId="0" borderId="0" xfId="8" applyNumberFormat="1" applyFont="1"/>
    <xf numFmtId="39" fontId="0" fillId="0" borderId="0" xfId="2" applyNumberFormat="1" applyFont="1" applyProtection="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2" fillId="0" borderId="0" xfId="0" applyFont="1"/>
    <xf numFmtId="0" fontId="21" fillId="3" borderId="0" xfId="6" applyFont="1" applyFill="1" applyAlignment="1" applyProtection="1">
      <alignment horizontal="right"/>
    </xf>
    <xf numFmtId="0" fontId="28"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1"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0" fillId="0" borderId="0" xfId="0" applyFont="1"/>
    <xf numFmtId="0" fontId="29"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1" fillId="0" borderId="0" xfId="0" applyFont="1"/>
    <xf numFmtId="166" fontId="0" fillId="0" borderId="9" xfId="0" applyNumberFormat="1" applyBorder="1" applyAlignment="1">
      <alignment horizontal="right" vertical="top"/>
    </xf>
    <xf numFmtId="0" fontId="33"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7" fillId="0" borderId="0" xfId="6" applyFont="1" applyAlignment="1" applyProtection="1">
      <alignment horizontal="center" vertical="top"/>
    </xf>
    <xf numFmtId="0" fontId="4" fillId="0" borderId="0" xfId="6" applyAlignment="1" applyProtection="1">
      <alignment vertical="top" wrapText="1"/>
    </xf>
    <xf numFmtId="0" fontId="39"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0" fontId="31" fillId="4" borderId="0" xfId="0" applyFont="1" applyFill="1"/>
    <xf numFmtId="0" fontId="33" fillId="0" borderId="0" xfId="0" applyFont="1"/>
    <xf numFmtId="0" fontId="0" fillId="0" borderId="1" xfId="0" applyBorder="1" applyAlignment="1">
      <alignment horizontal="centerContinuous"/>
    </xf>
    <xf numFmtId="0" fontId="26"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7" fillId="3" borderId="26" xfId="6" applyFont="1" applyFill="1" applyBorder="1" applyAlignment="1" applyProtection="1">
      <alignment horizontal="center"/>
    </xf>
    <xf numFmtId="0" fontId="2" fillId="0" borderId="1" xfId="0" applyFont="1" applyBorder="1"/>
    <xf numFmtId="0" fontId="0" fillId="0" borderId="2"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2"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2" xfId="0" applyNumberFormat="1" applyBorder="1"/>
    <xf numFmtId="164" fontId="0" fillId="0" borderId="18" xfId="0" applyNumberFormat="1" applyBorder="1" applyAlignment="1">
      <alignment horizontal="left"/>
    </xf>
    <xf numFmtId="38" fontId="0" fillId="0" borderId="3" xfId="0" applyNumberFormat="1" applyBorder="1"/>
    <xf numFmtId="164" fontId="0" fillId="0" borderId="13" xfId="0" applyNumberFormat="1" applyBorder="1"/>
    <xf numFmtId="38" fontId="0" fillId="0" borderId="5"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3" xfId="0" applyNumberFormat="1" applyBorder="1"/>
    <xf numFmtId="38" fontId="0" fillId="0" borderId="0" xfId="0" applyNumberFormat="1"/>
    <xf numFmtId="166" fontId="0" fillId="0" borderId="0" xfId="0" applyNumberFormat="1"/>
    <xf numFmtId="164" fontId="0" fillId="0" borderId="1" xfId="0" applyNumberFormat="1" applyBorder="1"/>
    <xf numFmtId="0" fontId="27" fillId="3" borderId="1" xfId="6" applyFont="1" applyFill="1" applyBorder="1" applyProtection="1"/>
    <xf numFmtId="0" fontId="24" fillId="3" borderId="1" xfId="6" applyFont="1" applyFill="1" applyBorder="1" applyProtection="1"/>
    <xf numFmtId="38" fontId="0" fillId="5" borderId="2" xfId="0" applyNumberFormat="1" applyFill="1" applyBorder="1"/>
    <xf numFmtId="0" fontId="0" fillId="0" borderId="9" xfId="0" applyBorder="1"/>
    <xf numFmtId="3" fontId="0" fillId="0" borderId="2" xfId="0" applyNumberFormat="1" applyBorder="1"/>
    <xf numFmtId="37" fontId="0" fillId="0" borderId="2" xfId="0" applyNumberFormat="1" applyBorder="1"/>
    <xf numFmtId="0" fontId="2" fillId="0" borderId="0" xfId="0" applyFont="1" applyAlignment="1">
      <alignment horizontal="centerContinuous"/>
    </xf>
    <xf numFmtId="0" fontId="25" fillId="0" borderId="0" xfId="6" applyFont="1" applyAlignment="1" applyProtection="1">
      <alignment horizontal="centerContinuous"/>
    </xf>
    <xf numFmtId="0" fontId="24" fillId="0" borderId="0" xfId="6" applyFont="1" applyAlignment="1" applyProtection="1">
      <alignment horizontal="centerContinuous"/>
    </xf>
    <xf numFmtId="0" fontId="8" fillId="3" borderId="0" xfId="6" applyFont="1" applyFill="1" applyAlignment="1" applyProtection="1">
      <alignment horizontal="centerContinuous"/>
    </xf>
    <xf numFmtId="0" fontId="25"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2" xfId="0" applyNumberFormat="1" applyBorder="1" applyAlignment="1">
      <alignment vertical="center"/>
    </xf>
    <xf numFmtId="164" fontId="0" fillId="0" borderId="0" xfId="0" applyNumberFormat="1" applyAlignment="1">
      <alignment vertical="center"/>
    </xf>
    <xf numFmtId="0" fontId="27" fillId="3" borderId="0" xfId="6" applyFont="1" applyFill="1" applyAlignment="1" applyProtection="1">
      <alignment vertical="center"/>
    </xf>
    <xf numFmtId="0" fontId="0" fillId="3" borderId="0" xfId="0" applyFill="1" applyAlignment="1">
      <alignment vertical="center"/>
    </xf>
    <xf numFmtId="38" fontId="0" fillId="0" borderId="3"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7"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7"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28" fillId="3" borderId="0" xfId="6" applyFont="1" applyFill="1" applyAlignment="1" applyProtection="1">
      <alignment horizontal="left" vertical="center"/>
    </xf>
    <xf numFmtId="0" fontId="30" fillId="3" borderId="0" xfId="6" applyFont="1" applyFill="1" applyProtection="1"/>
    <xf numFmtId="0" fontId="37" fillId="3" borderId="0" xfId="6" applyFont="1" applyFill="1" applyProtection="1"/>
    <xf numFmtId="0" fontId="25" fillId="3" borderId="0" xfId="6" applyFont="1" applyFill="1" applyProtection="1"/>
    <xf numFmtId="0" fontId="38" fillId="3" borderId="0" xfId="6" applyFont="1" applyFill="1" applyAlignment="1" applyProtection="1">
      <alignment vertical="center"/>
    </xf>
    <xf numFmtId="0" fontId="25" fillId="0" borderId="0" xfId="6" applyFont="1" applyProtection="1"/>
    <xf numFmtId="38" fontId="0" fillId="0" borderId="31" xfId="0" applyNumberFormat="1" applyBorder="1" applyAlignment="1">
      <alignment vertical="center"/>
    </xf>
    <xf numFmtId="0" fontId="28" fillId="3" borderId="0" xfId="6" applyFont="1" applyFill="1" applyAlignment="1" applyProtection="1">
      <alignment vertical="center"/>
    </xf>
    <xf numFmtId="38" fontId="33" fillId="0" borderId="0" xfId="0" applyNumberFormat="1" applyFont="1"/>
    <xf numFmtId="164" fontId="33" fillId="0" borderId="0" xfId="0" applyNumberFormat="1" applyFont="1" applyAlignment="1">
      <alignment horizontal="right" vertical="center"/>
    </xf>
    <xf numFmtId="0" fontId="2" fillId="0" borderId="0" xfId="6" applyFont="1" applyAlignment="1" applyProtection="1">
      <alignment horizontal="centerContinuous" vertical="center"/>
    </xf>
    <xf numFmtId="0" fontId="28"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7" fillId="3" borderId="18" xfId="6" applyFont="1" applyFill="1" applyBorder="1" applyProtection="1"/>
    <xf numFmtId="0" fontId="24"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3" xfId="0" applyNumberFormat="1" applyBorder="1" applyAlignment="1">
      <alignment horizontal="right"/>
    </xf>
    <xf numFmtId="0" fontId="4" fillId="3" borderId="0" xfId="6" applyFill="1" applyProtection="1"/>
    <xf numFmtId="0" fontId="26"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7"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2" xfId="0" applyNumberFormat="1" applyBorder="1"/>
    <xf numFmtId="38" fontId="0" fillId="0" borderId="2" xfId="0" applyNumberFormat="1" applyBorder="1" applyAlignment="1">
      <alignment horizontal="right"/>
    </xf>
    <xf numFmtId="166" fontId="0" fillId="0" borderId="2" xfId="1" applyNumberFormat="1" applyFont="1" applyBorder="1" applyAlignment="1" applyProtection="1">
      <alignment horizontal="right"/>
    </xf>
    <xf numFmtId="173" fontId="0" fillId="0" borderId="3" xfId="0" applyNumberFormat="1" applyBorder="1"/>
    <xf numFmtId="166" fontId="0" fillId="0" borderId="3"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4" fillId="3" borderId="32" xfId="6" applyFont="1" applyFill="1" applyBorder="1" applyProtection="1"/>
    <xf numFmtId="164" fontId="0" fillId="0" borderId="32" xfId="0" applyNumberFormat="1" applyBorder="1"/>
    <xf numFmtId="49" fontId="22" fillId="0" borderId="1" xfId="0" applyNumberFormat="1" applyFont="1" applyBorder="1"/>
    <xf numFmtId="0" fontId="22" fillId="0" borderId="32" xfId="0" applyFont="1" applyBorder="1"/>
    <xf numFmtId="0" fontId="22" fillId="0" borderId="8" xfId="0" applyFont="1" applyBorder="1" applyAlignment="1">
      <alignment horizontal="center"/>
    </xf>
    <xf numFmtId="0" fontId="22" fillId="0" borderId="18" xfId="0" applyFont="1" applyBorder="1"/>
    <xf numFmtId="0" fontId="22" fillId="0" borderId="13" xfId="0" applyFont="1" applyBorder="1" applyAlignment="1">
      <alignment horizontal="center"/>
    </xf>
    <xf numFmtId="0" fontId="22" fillId="0" borderId="5" xfId="0" applyFont="1" applyBorder="1" applyAlignment="1">
      <alignment horizontal="center"/>
    </xf>
    <xf numFmtId="38" fontId="22" fillId="0" borderId="2" xfId="0" applyNumberFormat="1" applyFont="1" applyBorder="1"/>
    <xf numFmtId="166" fontId="0" fillId="0" borderId="8" xfId="0" applyNumberFormat="1" applyBorder="1"/>
    <xf numFmtId="0" fontId="22" fillId="0" borderId="8" xfId="0" applyFont="1" applyBorder="1"/>
    <xf numFmtId="0" fontId="22" fillId="0" borderId="28" xfId="0" applyFont="1" applyBorder="1"/>
    <xf numFmtId="38" fontId="22" fillId="0" borderId="7" xfId="0" applyNumberFormat="1" applyFont="1" applyBorder="1"/>
    <xf numFmtId="0" fontId="22" fillId="0" borderId="0" xfId="0" applyFont="1" applyAlignment="1">
      <alignment vertical="center" wrapText="1"/>
    </xf>
    <xf numFmtId="38" fontId="22" fillId="0" borderId="3" xfId="0" applyNumberFormat="1" applyFont="1" applyBorder="1"/>
    <xf numFmtId="0" fontId="22" fillId="0" borderId="33" xfId="0" applyFont="1" applyBorder="1"/>
    <xf numFmtId="0" fontId="2" fillId="0" borderId="18" xfId="0" applyFont="1" applyBorder="1" applyAlignment="1">
      <alignment horizontal="left"/>
    </xf>
    <xf numFmtId="0" fontId="23" fillId="0" borderId="0" xfId="0" applyFont="1" applyAlignment="1">
      <alignment horizontal="left"/>
    </xf>
    <xf numFmtId="0" fontId="22" fillId="0" borderId="13" xfId="0" applyFont="1" applyBorder="1"/>
    <xf numFmtId="0" fontId="23" fillId="0" borderId="7" xfId="0" applyFont="1" applyBorder="1" applyAlignment="1">
      <alignment horizontal="left"/>
    </xf>
    <xf numFmtId="0" fontId="23" fillId="0" borderId="1" xfId="0" applyFont="1" applyBorder="1" applyAlignment="1">
      <alignment horizontal="left"/>
    </xf>
    <xf numFmtId="0" fontId="22" fillId="0" borderId="5" xfId="0" applyFont="1" applyBorder="1"/>
    <xf numFmtId="38" fontId="22" fillId="0" borderId="8" xfId="0" applyNumberFormat="1" applyFont="1" applyBorder="1"/>
    <xf numFmtId="0" fontId="22" fillId="0" borderId="0" xfId="0" applyFont="1" applyAlignment="1">
      <alignment horizontal="left"/>
    </xf>
    <xf numFmtId="38" fontId="22" fillId="0" borderId="0" xfId="0" applyNumberFormat="1" applyFont="1"/>
    <xf numFmtId="0" fontId="22" fillId="0" borderId="7" xfId="0" applyFont="1" applyBorder="1"/>
    <xf numFmtId="0" fontId="22" fillId="0" borderId="1" xfId="0" applyFont="1" applyBorder="1"/>
    <xf numFmtId="38" fontId="22" fillId="0" borderId="26" xfId="0" applyNumberFormat="1" applyFont="1" applyBorder="1"/>
    <xf numFmtId="38" fontId="22" fillId="0" borderId="18" xfId="0" applyNumberFormat="1" applyFont="1" applyBorder="1"/>
    <xf numFmtId="0" fontId="23" fillId="0" borderId="18" xfId="0" applyFont="1" applyBorder="1"/>
    <xf numFmtId="0" fontId="22" fillId="0" borderId="14" xfId="0" applyFont="1" applyBorder="1"/>
    <xf numFmtId="0" fontId="22" fillId="0" borderId="9" xfId="0" applyFont="1" applyBorder="1"/>
    <xf numFmtId="0" fontId="29" fillId="0" borderId="0" xfId="0" applyFont="1" applyAlignment="1">
      <alignment vertical="top" wrapText="1"/>
    </xf>
    <xf numFmtId="0" fontId="22" fillId="0" borderId="0" xfId="0" applyFont="1" applyAlignment="1">
      <alignment horizontal="center"/>
    </xf>
    <xf numFmtId="0" fontId="22" fillId="0" borderId="27" xfId="0" applyFont="1" applyBorder="1"/>
    <xf numFmtId="0" fontId="22" fillId="0" borderId="0" xfId="0" applyFont="1" applyAlignment="1">
      <alignment vertical="top"/>
    </xf>
    <xf numFmtId="0" fontId="22" fillId="0" borderId="0" xfId="0" applyFont="1" applyAlignment="1">
      <alignment horizontal="right"/>
    </xf>
    <xf numFmtId="0" fontId="35" fillId="0" borderId="0" xfId="0" applyFont="1"/>
    <xf numFmtId="0" fontId="35" fillId="0" borderId="1" xfId="0" applyFont="1" applyBorder="1" applyAlignment="1">
      <alignment horizontal="left"/>
    </xf>
    <xf numFmtId="0" fontId="35" fillId="0" borderId="0" xfId="0" applyFont="1" applyAlignment="1">
      <alignment horizontal="left"/>
    </xf>
    <xf numFmtId="0" fontId="14" fillId="0" borderId="0" xfId="0" applyFont="1" applyAlignment="1">
      <alignment horizontal="left"/>
    </xf>
    <xf numFmtId="0" fontId="36" fillId="0" borderId="0" xfId="0" applyFont="1" applyAlignment="1">
      <alignment horizontal="center" vertical="top"/>
    </xf>
    <xf numFmtId="0" fontId="35"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1"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7" fillId="4" borderId="0" xfId="6" applyFont="1" applyFill="1" applyProtection="1"/>
    <xf numFmtId="175" fontId="0" fillId="0" borderId="0" xfId="0" applyNumberFormat="1"/>
    <xf numFmtId="0" fontId="14" fillId="0" borderId="0" xfId="0" applyFont="1"/>
    <xf numFmtId="168" fontId="0" fillId="0" borderId="0" xfId="0" applyNumberFormat="1" applyAlignment="1">
      <alignment horizontal="right"/>
    </xf>
    <xf numFmtId="164" fontId="28"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3"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7" fillId="4" borderId="0" xfId="6" applyFont="1" applyFill="1" applyAlignment="1" applyProtection="1">
      <alignment horizontal="center" vertical="top"/>
    </xf>
    <xf numFmtId="0" fontId="0" fillId="4" borderId="0" xfId="0" applyFill="1" applyAlignment="1">
      <alignment horizontal="center" vertical="top" wrapText="1"/>
    </xf>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7" fillId="7" borderId="0" xfId="6" applyFont="1" applyFill="1" applyAlignment="1" applyProtection="1">
      <alignment horizontal="center" vertical="top"/>
    </xf>
    <xf numFmtId="0" fontId="39" fillId="4" borderId="0" xfId="0" applyFont="1" applyFill="1" applyAlignment="1">
      <alignment vertical="top" wrapText="1"/>
    </xf>
    <xf numFmtId="164" fontId="0" fillId="0" borderId="0" xfId="0" applyNumberFormat="1"/>
    <xf numFmtId="0" fontId="0" fillId="0" borderId="1" xfId="0" applyBorder="1" applyAlignment="1">
      <alignment horizontal="center"/>
    </xf>
    <xf numFmtId="0" fontId="0" fillId="0" borderId="0" xfId="0"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1" xfId="0" applyBorder="1" applyAlignment="1">
      <alignment horizontal="left"/>
    </xf>
    <xf numFmtId="49" fontId="0" fillId="0" borderId="1" xfId="0" applyNumberFormat="1" applyBorder="1" applyAlignment="1">
      <alignment horizontal="center"/>
    </xf>
    <xf numFmtId="0" fontId="0" fillId="0" borderId="0" xfId="0" applyAlignment="1">
      <alignment horizontal="left" vertical="top" wrapText="1"/>
    </xf>
    <xf numFmtId="0" fontId="28" fillId="3" borderId="0" xfId="6" applyFont="1" applyFill="1" applyAlignment="1" applyProtection="1">
      <alignment horizontal="right"/>
    </xf>
    <xf numFmtId="0" fontId="0" fillId="0" borderId="7" xfId="0" applyBorder="1" applyAlignment="1">
      <alignment horizontal="left"/>
    </xf>
    <xf numFmtId="0" fontId="0" fillId="0" borderId="3" xfId="0" applyBorder="1"/>
    <xf numFmtId="0" fontId="0" fillId="0" borderId="7" xfId="0" applyBorder="1"/>
    <xf numFmtId="0" fontId="0" fillId="0" borderId="1"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1" xfId="0" applyNumberFormat="1" applyBorder="1" applyAlignment="1">
      <alignment horizontal="left"/>
    </xf>
    <xf numFmtId="0" fontId="27" fillId="0" borderId="0" xfId="6" applyFont="1" applyFill="1" applyAlignment="1" applyProtection="1">
      <alignment horizontal="center" vertical="top" wrapText="1"/>
    </xf>
    <xf numFmtId="0" fontId="27" fillId="0" borderId="0" xfId="6" applyFont="1" applyFill="1" applyAlignment="1" applyProtection="1">
      <alignment horizontal="center" vertical="top"/>
    </xf>
    <xf numFmtId="0" fontId="0" fillId="0" borderId="0" xfId="6" applyFont="1" applyFill="1" applyAlignment="1" applyProtection="1">
      <alignment vertical="top" wrapText="1"/>
    </xf>
    <xf numFmtId="0" fontId="45" fillId="0" borderId="0" xfId="10" applyFont="1" applyAlignment="1">
      <alignment horizontal="right"/>
    </xf>
    <xf numFmtId="179" fontId="35" fillId="2" borderId="0" xfId="10" applyNumberFormat="1" applyFont="1" applyFill="1"/>
    <xf numFmtId="0" fontId="35" fillId="0" borderId="0" xfId="10" applyFont="1"/>
    <xf numFmtId="0" fontId="0" fillId="0" borderId="1" xfId="11" applyFont="1" applyBorder="1" applyAlignment="1">
      <alignment horizontal="center"/>
    </xf>
    <xf numFmtId="0" fontId="35" fillId="0" borderId="0" xfId="10" applyFont="1" applyAlignment="1">
      <alignment horizontal="center"/>
    </xf>
    <xf numFmtId="0" fontId="35" fillId="0" borderId="0" xfId="8" applyFont="1"/>
    <xf numFmtId="37" fontId="45" fillId="0" borderId="0" xfId="8" applyNumberFormat="1" applyFont="1" applyAlignment="1">
      <alignment horizontal="left"/>
    </xf>
    <xf numFmtId="0" fontId="45" fillId="8" borderId="3" xfId="0" applyFont="1" applyFill="1" applyBorder="1" applyAlignment="1">
      <alignment horizontal="center" wrapText="1"/>
    </xf>
    <xf numFmtId="0" fontId="45" fillId="0" borderId="0" xfId="0" applyFont="1" applyAlignment="1">
      <alignment horizontal="left" vertical="top"/>
    </xf>
    <xf numFmtId="0" fontId="45" fillId="0" borderId="0" xfId="0" applyFont="1" applyAlignment="1">
      <alignment wrapText="1"/>
    </xf>
    <xf numFmtId="0" fontId="35" fillId="0" borderId="0" xfId="0" quotePrefix="1" applyFont="1" applyAlignment="1">
      <alignment horizontal="right"/>
    </xf>
    <xf numFmtId="37" fontId="35" fillId="0" borderId="3" xfId="0" applyNumberFormat="1" applyFont="1" applyBorder="1" applyProtection="1">
      <protection locked="0"/>
    </xf>
    <xf numFmtId="179" fontId="7" fillId="0" borderId="0" xfId="6" quotePrefix="1" applyNumberFormat="1" applyFont="1" applyFill="1" applyAlignment="1" applyProtection="1">
      <alignment horizontal="right"/>
    </xf>
    <xf numFmtId="0" fontId="35" fillId="0" borderId="0" xfId="0" applyFont="1" applyAlignment="1">
      <alignment horizontal="left" vertical="top"/>
    </xf>
    <xf numFmtId="37" fontId="35" fillId="0" borderId="0" xfId="0" applyNumberFormat="1" applyFont="1" applyAlignment="1">
      <alignment wrapText="1"/>
    </xf>
    <xf numFmtId="0" fontId="0" fillId="0" borderId="0" xfId="0" quotePrefix="1" applyAlignment="1">
      <alignment horizontal="left"/>
    </xf>
    <xf numFmtId="37" fontId="35" fillId="0" borderId="9" xfId="0" applyNumberFormat="1" applyFont="1" applyBorder="1"/>
    <xf numFmtId="37" fontId="35" fillId="0" borderId="3" xfId="0" applyNumberFormat="1" applyFont="1" applyBorder="1"/>
    <xf numFmtId="49" fontId="35" fillId="0" borderId="0" xfId="6" applyNumberFormat="1" applyFont="1" applyFill="1" applyAlignment="1" applyProtection="1">
      <alignment horizontal="center" vertical="top"/>
    </xf>
    <xf numFmtId="37" fontId="35" fillId="0" borderId="0" xfId="0" applyNumberFormat="1" applyFont="1"/>
    <xf numFmtId="0" fontId="35" fillId="0" borderId="0" xfId="0" applyFont="1" applyAlignment="1">
      <alignment horizontal="right"/>
    </xf>
    <xf numFmtId="0" fontId="35" fillId="0" borderId="1" xfId="10" applyFont="1" applyBorder="1" applyAlignment="1">
      <alignment horizontal="left"/>
    </xf>
    <xf numFmtId="49" fontId="35" fillId="0" borderId="1" xfId="10" applyNumberFormat="1" applyFont="1" applyBorder="1"/>
    <xf numFmtId="0" fontId="0" fillId="7" borderId="0" xfId="0" applyFill="1" applyAlignment="1">
      <alignment vertical="top" wrapText="1"/>
    </xf>
    <xf numFmtId="0" fontId="46" fillId="0" borderId="0" xfId="8" applyFont="1"/>
    <xf numFmtId="0" fontId="46" fillId="0" borderId="0" xfId="8" applyFont="1" applyAlignment="1">
      <alignment horizontal="center"/>
    </xf>
    <xf numFmtId="0" fontId="46" fillId="0" borderId="0" xfId="8" applyFont="1" applyAlignment="1">
      <alignment horizontal="right"/>
    </xf>
    <xf numFmtId="0" fontId="39" fillId="0" borderId="0" xfId="0" quotePrefix="1" applyFont="1" applyAlignment="1">
      <alignment vertical="top" wrapText="1"/>
    </xf>
    <xf numFmtId="0" fontId="0" fillId="7" borderId="0" xfId="0" applyFill="1" applyAlignment="1">
      <alignment horizontal="center" vertical="top" wrapText="1"/>
    </xf>
    <xf numFmtId="0" fontId="7" fillId="3" borderId="0" xfId="6" applyFont="1" applyFill="1" applyProtection="1"/>
    <xf numFmtId="0" fontId="33" fillId="0" borderId="0" xfId="0" applyFont="1" applyAlignment="1">
      <alignment horizontal="left" wrapText="1"/>
    </xf>
    <xf numFmtId="0" fontId="0" fillId="0" borderId="0" xfId="0" quotePrefix="1" applyAlignment="1">
      <alignment vertical="top"/>
    </xf>
    <xf numFmtId="0" fontId="0" fillId="0" borderId="3" xfId="0" applyBorder="1" applyAlignment="1">
      <alignment horizontal="center" wrapText="1"/>
    </xf>
    <xf numFmtId="0" fontId="27" fillId="3" borderId="0" xfId="6" quotePrefix="1" applyFont="1" applyFill="1" applyProtection="1"/>
    <xf numFmtId="0" fontId="0" fillId="0" borderId="0" xfId="0" applyAlignment="1">
      <alignment horizontal="left" vertical="top"/>
    </xf>
    <xf numFmtId="0" fontId="31" fillId="4" borderId="0" xfId="0" applyFont="1" applyFill="1" applyAlignment="1">
      <alignment vertical="center"/>
    </xf>
    <xf numFmtId="0" fontId="0" fillId="7" borderId="0" xfId="6" applyFont="1" applyFill="1" applyAlignment="1" applyProtection="1">
      <alignment vertical="top" wrapText="1"/>
    </xf>
    <xf numFmtId="0" fontId="17" fillId="7" borderId="0" xfId="0" applyFont="1" applyFill="1" applyAlignment="1">
      <alignment vertical="top" wrapText="1"/>
    </xf>
    <xf numFmtId="0" fontId="43"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1"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1" xfId="0" applyNumberFormat="1" applyBorder="1" applyAlignment="1" applyProtection="1">
      <alignment horizontal="center"/>
      <protection locked="0"/>
    </xf>
    <xf numFmtId="0" fontId="3" fillId="0" borderId="0" xfId="0" applyFont="1" applyAlignment="1">
      <alignment horizontal="center"/>
    </xf>
    <xf numFmtId="0" fontId="2" fillId="0" borderId="0" xfId="0" applyFont="1" applyAlignment="1">
      <alignment horizontal="center"/>
    </xf>
    <xf numFmtId="164" fontId="0" fillId="0" borderId="0" xfId="0" applyNumberFormat="1"/>
    <xf numFmtId="167" fontId="0" fillId="0" borderId="1" xfId="0" applyNumberFormat="1" applyBorder="1" applyAlignment="1" applyProtection="1">
      <alignment horizontal="left"/>
      <protection locked="0"/>
    </xf>
    <xf numFmtId="0" fontId="29"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0" borderId="1" xfId="0" applyBorder="1" applyProtection="1">
      <protection locked="0"/>
    </xf>
    <xf numFmtId="0" fontId="27" fillId="3" borderId="0" xfId="6" applyFont="1" applyFill="1" applyAlignment="1" applyProtection="1">
      <alignment horizontal="left"/>
    </xf>
    <xf numFmtId="0" fontId="27" fillId="3" borderId="0" xfId="6" applyFont="1" applyFill="1" applyBorder="1" applyAlignment="1" applyProtection="1">
      <alignment horizontal="left"/>
    </xf>
    <xf numFmtId="0" fontId="4" fillId="0" borderId="13" xfId="6" applyBorder="1" applyAlignment="1" applyProtection="1">
      <alignment horizontal="center" vertical="center"/>
    </xf>
    <xf numFmtId="0" fontId="0" fillId="0" borderId="1" xfId="0" applyBorder="1" applyAlignment="1" applyProtection="1">
      <alignment horizontal="left"/>
      <protection locked="0"/>
    </xf>
    <xf numFmtId="0" fontId="0" fillId="0" borderId="5" xfId="0" applyBorder="1" applyAlignment="1" applyProtection="1">
      <alignment horizontal="left"/>
      <protection locked="0"/>
    </xf>
    <xf numFmtId="0" fontId="7" fillId="3" borderId="0" xfId="6" applyFont="1" applyFill="1" applyAlignment="1" applyProtection="1">
      <alignment horizontal="right"/>
    </xf>
    <xf numFmtId="49" fontId="0" fillId="0" borderId="1" xfId="0" applyNumberFormat="1" applyBorder="1" applyAlignment="1" applyProtection="1">
      <alignment horizontal="center"/>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0" fontId="0" fillId="0" borderId="9" xfId="0" applyBorder="1" applyAlignment="1" applyProtection="1">
      <alignment horizontal="left"/>
      <protection locked="0"/>
    </xf>
    <xf numFmtId="0" fontId="2" fillId="0" borderId="0" xfId="0" applyFont="1" applyAlignment="1">
      <alignment horizontal="left"/>
    </xf>
    <xf numFmtId="0" fontId="16" fillId="0" borderId="0" xfId="0" applyFont="1" applyAlignment="1">
      <alignment horizontal="left"/>
    </xf>
    <xf numFmtId="0" fontId="41" fillId="0" borderId="0" xfId="0" applyFont="1" applyAlignment="1">
      <alignment horizontal="center" vertical="center" wrapText="1"/>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1" xfId="0" applyNumberFormat="1" applyBorder="1" applyProtection="1">
      <protection locked="0"/>
    </xf>
    <xf numFmtId="0" fontId="0" fillId="0" borderId="1" xfId="0" applyBorder="1" applyAlignment="1" applyProtection="1">
      <alignment horizontal="center"/>
      <protection locked="0"/>
    </xf>
    <xf numFmtId="167" fontId="0" fillId="9" borderId="9" xfId="0" applyNumberFormat="1" applyFill="1" applyBorder="1" applyAlignment="1">
      <alignment horizontal="left"/>
    </xf>
    <xf numFmtId="0" fontId="7" fillId="3" borderId="0" xfId="6" applyFont="1" applyFill="1" applyBorder="1" applyAlignment="1" applyProtection="1">
      <alignment horizontal="left"/>
    </xf>
    <xf numFmtId="0" fontId="0" fillId="0" borderId="1" xfId="0" applyBorder="1" applyAlignment="1">
      <alignment horizontal="left"/>
    </xf>
    <xf numFmtId="49" fontId="0" fillId="0" borderId="1"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1" xfId="0" applyBorder="1" applyAlignment="1">
      <alignment horizontal="center"/>
    </xf>
    <xf numFmtId="0" fontId="0" fillId="0" borderId="0" xfId="0" applyAlignment="1">
      <alignment horizontal="left" vertical="top" wrapText="1"/>
    </xf>
    <xf numFmtId="0" fontId="0" fillId="0" borderId="13" xfId="0" applyBorder="1" applyAlignment="1">
      <alignment horizontal="left" vertical="top" wrapText="1"/>
    </xf>
    <xf numFmtId="0" fontId="28" fillId="3" borderId="0" xfId="6" applyFont="1" applyFill="1" applyAlignment="1" applyProtection="1">
      <alignment horizontal="right"/>
    </xf>
    <xf numFmtId="0" fontId="42" fillId="3" borderId="0" xfId="6" applyFont="1" applyFill="1" applyAlignment="1" applyProtection="1">
      <alignment horizontal="right"/>
    </xf>
    <xf numFmtId="0" fontId="0" fillId="0" borderId="3" xfId="0" applyBorder="1" applyAlignment="1">
      <alignment horizontal="center" wrapText="1"/>
    </xf>
    <xf numFmtId="0" fontId="24" fillId="3" borderId="0" xfId="6" applyFont="1" applyFill="1" applyAlignment="1" applyProtection="1">
      <alignment horizontal="left" vertical="top" wrapText="1"/>
    </xf>
    <xf numFmtId="0" fontId="0" fillId="0" borderId="14" xfId="0" applyBorder="1" applyAlignment="1">
      <alignment horizontal="center"/>
    </xf>
    <xf numFmtId="0" fontId="0" fillId="0" borderId="27" xfId="0" applyBorder="1" applyAlignment="1">
      <alignment horizontal="center"/>
    </xf>
    <xf numFmtId="0" fontId="4" fillId="0" borderId="32" xfId="6" applyBorder="1" applyAlignment="1" applyProtection="1">
      <alignment horizontal="center" vertical="center"/>
    </xf>
    <xf numFmtId="0" fontId="0" fillId="0" borderId="3" xfId="0" applyBorder="1" applyAlignment="1">
      <alignment horizontal="left"/>
    </xf>
    <xf numFmtId="38" fontId="22" fillId="0" borderId="14" xfId="0" applyNumberFormat="1" applyFont="1" applyBorder="1" applyAlignment="1">
      <alignment horizontal="center"/>
    </xf>
    <xf numFmtId="38" fontId="22" fillId="0" borderId="27" xfId="0" applyNumberFormat="1" applyFont="1" applyBorder="1" applyAlignment="1">
      <alignment horizontal="center"/>
    </xf>
    <xf numFmtId="0" fontId="29" fillId="0" borderId="0" xfId="0" applyFont="1" applyAlignment="1">
      <alignment horizontal="center" vertical="top" wrapText="1"/>
    </xf>
    <xf numFmtId="0" fontId="22" fillId="0" borderId="28"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3" xfId="0" applyFont="1" applyBorder="1" applyAlignment="1">
      <alignment horizontal="left" vertical="top" wrapText="1"/>
    </xf>
    <xf numFmtId="0" fontId="22" fillId="0" borderId="7" xfId="0" applyFont="1" applyBorder="1" applyAlignment="1">
      <alignment horizontal="left" vertical="top" wrapText="1"/>
    </xf>
    <xf numFmtId="0" fontId="22" fillId="0" borderId="1" xfId="0" applyFont="1" applyBorder="1" applyAlignment="1">
      <alignment horizontal="left" vertical="top" wrapText="1"/>
    </xf>
    <xf numFmtId="0" fontId="22" fillId="0" borderId="5" xfId="0" applyFont="1" applyBorder="1" applyAlignment="1">
      <alignment horizontal="left" vertical="top" wrapText="1"/>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3"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22" fillId="0" borderId="28" xfId="0" applyFont="1" applyBorder="1" applyAlignment="1">
      <alignment horizontal="center"/>
    </xf>
    <xf numFmtId="0" fontId="22" fillId="0" borderId="33" xfId="0" applyFont="1" applyBorder="1" applyAlignment="1">
      <alignment horizontal="center"/>
    </xf>
    <xf numFmtId="0" fontId="22" fillId="0" borderId="14" xfId="0" applyFont="1" applyBorder="1" applyAlignment="1">
      <alignment horizontal="center"/>
    </xf>
    <xf numFmtId="0" fontId="22" fillId="0" borderId="27" xfId="0" applyFont="1" applyBorder="1" applyAlignment="1">
      <alignment horizontal="center"/>
    </xf>
    <xf numFmtId="0" fontId="0" fillId="0" borderId="7" xfId="0" applyBorder="1" applyAlignment="1">
      <alignment horizontal="left"/>
    </xf>
    <xf numFmtId="37" fontId="2" fillId="0" borderId="0" xfId="8" applyNumberFormat="1" applyFont="1" applyAlignment="1">
      <alignment horizontal="left" wrapText="1"/>
    </xf>
    <xf numFmtId="0" fontId="2" fillId="0" borderId="0" xfId="0" applyFont="1"/>
    <xf numFmtId="37" fontId="35" fillId="0" borderId="28" xfId="0" applyNumberFormat="1" applyFont="1" applyBorder="1" applyAlignment="1" applyProtection="1">
      <alignment horizontal="left" vertical="top"/>
      <protection locked="0"/>
    </xf>
    <xf numFmtId="37" fontId="35" fillId="0" borderId="32" xfId="0" applyNumberFormat="1" applyFont="1" applyBorder="1" applyAlignment="1" applyProtection="1">
      <alignment horizontal="left" vertical="top"/>
      <protection locked="0"/>
    </xf>
    <xf numFmtId="37" fontId="35" fillId="0" borderId="33" xfId="0" applyNumberFormat="1" applyFont="1" applyBorder="1" applyAlignment="1" applyProtection="1">
      <alignment horizontal="left" vertical="top"/>
      <protection locked="0"/>
    </xf>
    <xf numFmtId="37" fontId="35" fillId="0" borderId="18" xfId="0" applyNumberFormat="1" applyFont="1" applyBorder="1" applyAlignment="1" applyProtection="1">
      <alignment horizontal="left" vertical="top"/>
      <protection locked="0"/>
    </xf>
    <xf numFmtId="37" fontId="35" fillId="0" borderId="0" xfId="0" applyNumberFormat="1" applyFont="1" applyAlignment="1" applyProtection="1">
      <alignment horizontal="left" vertical="top"/>
      <protection locked="0"/>
    </xf>
    <xf numFmtId="37" fontId="35" fillId="0" borderId="13" xfId="0" applyNumberFormat="1" applyFont="1" applyBorder="1" applyAlignment="1" applyProtection="1">
      <alignment horizontal="left" vertical="top"/>
      <protection locked="0"/>
    </xf>
    <xf numFmtId="37" fontId="35" fillId="0" borderId="7" xfId="0" applyNumberFormat="1" applyFont="1" applyBorder="1" applyAlignment="1" applyProtection="1">
      <alignment horizontal="left" vertical="top"/>
      <protection locked="0"/>
    </xf>
    <xf numFmtId="37" fontId="35" fillId="0" borderId="1" xfId="0" applyNumberFormat="1" applyFont="1" applyBorder="1" applyAlignment="1" applyProtection="1">
      <alignment horizontal="left" vertical="top"/>
      <protection locked="0"/>
    </xf>
    <xf numFmtId="37" fontId="35" fillId="0" borderId="5" xfId="0" applyNumberFormat="1" applyFont="1" applyBorder="1" applyAlignment="1" applyProtection="1">
      <alignment horizontal="left" vertical="top"/>
      <protection locked="0"/>
    </xf>
    <xf numFmtId="0" fontId="0" fillId="10" borderId="0" xfId="0" applyFill="1" applyAlignment="1">
      <alignment horizontal="left" vertical="top" wrapText="1"/>
    </xf>
    <xf numFmtId="0" fontId="0" fillId="0" borderId="13" xfId="0" applyBorder="1" applyAlignment="1">
      <alignment horizontal="left"/>
    </xf>
    <xf numFmtId="0" fontId="0" fillId="0" borderId="9" xfId="0" applyBorder="1" applyAlignment="1">
      <alignment horizontal="center"/>
    </xf>
    <xf numFmtId="0" fontId="0" fillId="0" borderId="3" xfId="0" applyBorder="1"/>
    <xf numFmtId="0" fontId="0" fillId="0" borderId="7" xfId="0" applyBorder="1"/>
    <xf numFmtId="0" fontId="0" fillId="0" borderId="1" xfId="0" applyBorder="1"/>
    <xf numFmtId="0" fontId="0" fillId="0" borderId="5" xfId="0" applyBorder="1"/>
    <xf numFmtId="0" fontId="33" fillId="0" borderId="3" xfId="0" applyFont="1" applyBorder="1" applyAlignment="1" applyProtection="1">
      <alignment horizontal="center"/>
      <protection locked="0"/>
    </xf>
    <xf numFmtId="0" fontId="33" fillId="0" borderId="14" xfId="0" applyFont="1" applyBorder="1" applyAlignment="1" applyProtection="1">
      <alignment horizontal="center"/>
      <protection locked="0"/>
    </xf>
    <xf numFmtId="0" fontId="33" fillId="0" borderId="9" xfId="0" applyFont="1" applyBorder="1" applyAlignment="1" applyProtection="1">
      <alignment horizontal="center"/>
      <protection locked="0"/>
    </xf>
    <xf numFmtId="0" fontId="33" fillId="0" borderId="27" xfId="0" applyFont="1" applyBorder="1" applyAlignment="1" applyProtection="1">
      <alignment horizontal="center"/>
      <protection locked="0"/>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3" xfId="0" applyBorder="1" applyAlignment="1">
      <alignment horizontal="left" vertical="center" wrapText="1"/>
    </xf>
    <xf numFmtId="178" fontId="0" fillId="0" borderId="1"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2" fillId="0" borderId="3" xfId="0" applyFont="1" applyBorder="1" applyAlignment="1" applyProtection="1">
      <alignment horizontal="left" vertical="center" wrapText="1"/>
      <protection locked="0"/>
    </xf>
    <xf numFmtId="178" fontId="0" fillId="0" borderId="9" xfId="0" applyNumberFormat="1" applyBorder="1" applyProtection="1">
      <protection locked="0"/>
    </xf>
    <xf numFmtId="178" fontId="0" fillId="0" borderId="27" xfId="0" applyNumberFormat="1" applyBorder="1" applyProtection="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178" fontId="0" fillId="0" borderId="7" xfId="0" applyNumberFormat="1" applyBorder="1" applyAlignment="1" applyProtection="1">
      <alignment horizontal="right"/>
      <protection locked="0"/>
    </xf>
    <xf numFmtId="178" fontId="0" fillId="0" borderId="1" xfId="0" applyNumberFormat="1" applyBorder="1" applyProtection="1">
      <protection locked="0"/>
    </xf>
    <xf numFmtId="178" fontId="0" fillId="0" borderId="5" xfId="0" applyNumberFormat="1" applyBorder="1" applyProtection="1">
      <protection locked="0"/>
    </xf>
    <xf numFmtId="0" fontId="14" fillId="0" borderId="0" xfId="0" applyFont="1" applyAlignment="1">
      <alignment horizontal="left" vertical="top" wrapText="1"/>
    </xf>
    <xf numFmtId="0" fontId="33" fillId="0" borderId="0" xfId="0" applyFont="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7" xfId="0" applyBorder="1" applyAlignment="1" applyProtection="1">
      <alignment horizontal="center"/>
      <protection locked="0"/>
    </xf>
    <xf numFmtId="0" fontId="33" fillId="0" borderId="3" xfId="0" applyFont="1" applyBorder="1" applyAlignment="1" applyProtection="1">
      <alignment horizontal="center" vertical="center"/>
      <protection locked="0"/>
    </xf>
    <xf numFmtId="0" fontId="0" fillId="0" borderId="0" xfId="0" applyAlignment="1">
      <alignment horizontal="left" wrapText="1"/>
    </xf>
    <xf numFmtId="0" fontId="0" fillId="0" borderId="13" xfId="0" applyBorder="1" applyAlignment="1">
      <alignment horizontal="left"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3" xfId="0" applyBorder="1" applyAlignment="1">
      <alignment horizontal="left" vertical="center"/>
    </xf>
    <xf numFmtId="178" fontId="0" fillId="0" borderId="9" xfId="0" applyNumberFormat="1" applyBorder="1"/>
    <xf numFmtId="178" fontId="0" fillId="0" borderId="27" xfId="0" applyNumberFormat="1" applyBorder="1"/>
    <xf numFmtId="0" fontId="0" fillId="0" borderId="14" xfId="8" applyFont="1" applyBorder="1" applyAlignment="1">
      <alignment horizontal="center" wrapText="1"/>
    </xf>
    <xf numFmtId="0" fontId="0" fillId="0" borderId="27" xfId="8" applyFont="1" applyBorder="1" applyAlignment="1">
      <alignment horizontal="center" wrapText="1"/>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33" fillId="0" borderId="0" xfId="0" applyFont="1" applyAlignment="1">
      <alignment horizontal="left"/>
    </xf>
    <xf numFmtId="0" fontId="41" fillId="0" borderId="0" xfId="0" applyFont="1" applyAlignment="1">
      <alignment horizontal="left" vertical="top" wrapText="1"/>
    </xf>
    <xf numFmtId="0" fontId="33" fillId="0" borderId="0" xfId="0" applyFont="1" applyAlignment="1">
      <alignment horizontal="left" vertical="center"/>
    </xf>
    <xf numFmtId="0" fontId="33" fillId="0" borderId="0" xfId="0" applyFont="1" applyAlignment="1">
      <alignment horizontal="left" wrapText="1"/>
    </xf>
    <xf numFmtId="0" fontId="15" fillId="0" borderId="0" xfId="9" applyFill="1" applyAlignment="1">
      <alignment horizontal="center" vertical="center" wrapText="1"/>
    </xf>
    <xf numFmtId="164" fontId="0" fillId="10" borderId="0" xfId="8" applyNumberFormat="1" applyFont="1" applyFill="1" applyAlignment="1">
      <alignment horizontal="left" wrapText="1"/>
    </xf>
    <xf numFmtId="0" fontId="46" fillId="4" borderId="0" xfId="8" applyFont="1" applyFill="1" applyAlignment="1">
      <alignment horizontal="center"/>
    </xf>
    <xf numFmtId="0" fontId="0" fillId="0" borderId="0" xfId="0" applyAlignment="1">
      <alignment horizontal="right"/>
    </xf>
    <xf numFmtId="49" fontId="0" fillId="0" borderId="1"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rId1"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rId1" TargetMode="External"/></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190625"/>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bwMode="auto">
        <a:xfrm>
          <a:off x="3305175" y="628650"/>
          <a:ext cx="1238250" cy="31432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4552950</xdr:colOff>
      <xdr:row>2</xdr:row>
      <xdr:rowOff>238125</xdr:rowOff>
    </xdr:from>
    <xdr:to>
      <xdr:col>2</xdr:col>
      <xdr:colOff>9525</xdr:colOff>
      <xdr:row>3</xdr:row>
      <xdr:rowOff>133350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bwMode="auto">
        <a:xfrm>
          <a:off x="5457825" y="561975"/>
          <a:ext cx="2619375"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orgft1752131.sharepoint.com/sites/ADI/Shared%20Documents/adrshare/ADI%20Business%20Solutions%20Client%20Files/TUCSON%20INTERNATIONAL/BUDGET/Tucson%20Int.%20FY26%20Budget/Proposed/budget25.xlsx" TargetMode="External"/><Relationship Id="rId1" Type="http://schemas.openxmlformats.org/officeDocument/2006/relationships/externalLinkPath" Target="budge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Project balances"/>
      <sheetName val="Data Entry"/>
      <sheetName val="Calculations"/>
      <sheetName val="BSA55"/>
      <sheetName val="Instructions"/>
      <sheetName val="budget25"/>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5454611</v>
          </cell>
        </row>
      </sheetData>
      <sheetData sheetId="1"/>
      <sheetData sheetId="2">
        <row r="8">
          <cell r="L8">
            <v>947352</v>
          </cell>
        </row>
        <row r="10">
          <cell r="L10">
            <v>32318</v>
          </cell>
        </row>
        <row r="11">
          <cell r="L11">
            <v>35139</v>
          </cell>
        </row>
        <row r="12">
          <cell r="L12">
            <v>25200</v>
          </cell>
        </row>
        <row r="13">
          <cell r="L13">
            <v>524812</v>
          </cell>
        </row>
        <row r="14">
          <cell r="L14">
            <v>701568</v>
          </cell>
        </row>
        <row r="15">
          <cell r="L15">
            <v>1338684</v>
          </cell>
        </row>
        <row r="16">
          <cell r="L16">
            <v>0</v>
          </cell>
        </row>
        <row r="17">
          <cell r="L17">
            <v>337675</v>
          </cell>
        </row>
        <row r="18">
          <cell r="L18">
            <v>0</v>
          </cell>
        </row>
        <row r="19">
          <cell r="L19">
            <v>0</v>
          </cell>
        </row>
        <row r="20">
          <cell r="L20">
            <v>0</v>
          </cell>
        </row>
        <row r="21">
          <cell r="L21">
            <v>3450</v>
          </cell>
        </row>
        <row r="22">
          <cell r="L22">
            <v>38769</v>
          </cell>
        </row>
        <row r="25">
          <cell r="L25">
            <v>240406</v>
          </cell>
        </row>
        <row r="27">
          <cell r="L27">
            <v>4835</v>
          </cell>
        </row>
        <row r="28">
          <cell r="L28">
            <v>36000</v>
          </cell>
        </row>
        <row r="29">
          <cell r="L29">
            <v>0</v>
          </cell>
        </row>
        <row r="30">
          <cell r="L30">
            <v>102194</v>
          </cell>
        </row>
        <row r="31">
          <cell r="L31">
            <v>0</v>
          </cell>
        </row>
        <row r="32">
          <cell r="L32">
            <v>0</v>
          </cell>
        </row>
        <row r="33">
          <cell r="L33">
            <v>0</v>
          </cell>
        </row>
        <row r="34">
          <cell r="L34">
            <v>0</v>
          </cell>
        </row>
        <row r="35">
          <cell r="L35">
            <v>0</v>
          </cell>
        </row>
        <row r="36">
          <cell r="L36">
            <v>0</v>
          </cell>
        </row>
        <row r="39">
          <cell r="L39">
            <v>22256</v>
          </cell>
        </row>
        <row r="40">
          <cell r="L40">
            <v>0</v>
          </cell>
        </row>
        <row r="41">
          <cell r="L41">
            <v>0</v>
          </cell>
        </row>
        <row r="42">
          <cell r="L42">
            <v>44673</v>
          </cell>
        </row>
        <row r="44">
          <cell r="L44">
            <v>437440</v>
          </cell>
        </row>
        <row r="45">
          <cell r="L45">
            <v>30858</v>
          </cell>
        </row>
        <row r="46">
          <cell r="L46">
            <v>0</v>
          </cell>
        </row>
        <row r="47">
          <cell r="L47">
            <v>0</v>
          </cell>
        </row>
        <row r="48">
          <cell r="L48">
            <v>449390</v>
          </cell>
        </row>
      </sheetData>
      <sheetData sheetId="3">
        <row r="5">
          <cell r="E5">
            <v>283140</v>
          </cell>
          <cell r="N5">
            <v>383435</v>
          </cell>
        </row>
        <row r="6">
          <cell r="E6">
            <v>19565</v>
          </cell>
          <cell r="N6">
            <v>0</v>
          </cell>
        </row>
        <row r="7">
          <cell r="E7">
            <v>25318</v>
          </cell>
          <cell r="N7">
            <v>0</v>
          </cell>
        </row>
        <row r="8">
          <cell r="E8">
            <v>0</v>
          </cell>
          <cell r="N8">
            <v>0</v>
          </cell>
        </row>
        <row r="9">
          <cell r="E9">
            <v>0</v>
          </cell>
          <cell r="N9">
            <v>0</v>
          </cell>
        </row>
        <row r="10">
          <cell r="E10">
            <v>0</v>
          </cell>
          <cell r="N10">
            <v>0</v>
          </cell>
        </row>
        <row r="11">
          <cell r="E11">
            <v>0</v>
          </cell>
          <cell r="N11">
            <v>0</v>
          </cell>
        </row>
        <row r="12">
          <cell r="E12">
            <v>72250</v>
          </cell>
        </row>
        <row r="13">
          <cell r="E13">
            <v>0</v>
          </cell>
        </row>
        <row r="14">
          <cell r="E14">
            <v>0</v>
          </cell>
          <cell r="N14">
            <v>0</v>
          </cell>
        </row>
        <row r="15">
          <cell r="E15">
            <v>0</v>
          </cell>
        </row>
        <row r="16">
          <cell r="E16">
            <v>0</v>
          </cell>
        </row>
        <row r="17">
          <cell r="E17">
            <v>0</v>
          </cell>
        </row>
        <row r="18">
          <cell r="E18">
            <v>0</v>
          </cell>
        </row>
        <row r="19">
          <cell r="E19">
            <v>0</v>
          </cell>
        </row>
        <row r="20">
          <cell r="E20">
            <v>0</v>
          </cell>
        </row>
        <row r="21">
          <cell r="E21">
            <v>41880</v>
          </cell>
          <cell r="N21">
            <v>0</v>
          </cell>
        </row>
        <row r="22">
          <cell r="N22">
            <v>0</v>
          </cell>
        </row>
        <row r="23">
          <cell r="N23">
            <v>0</v>
          </cell>
        </row>
        <row r="24">
          <cell r="E24">
            <v>0</v>
          </cell>
          <cell r="N24">
            <v>30858</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7237</v>
          </cell>
        </row>
        <row r="40">
          <cell r="E40">
            <v>0</v>
          </cell>
        </row>
        <row r="41">
          <cell r="E41">
            <v>0</v>
          </cell>
        </row>
        <row r="42">
          <cell r="E42">
            <v>0</v>
          </cell>
        </row>
        <row r="43">
          <cell r="E43">
            <v>38562</v>
          </cell>
        </row>
        <row r="44">
          <cell r="E44">
            <v>0</v>
          </cell>
        </row>
        <row r="45">
          <cell r="E45">
            <v>0</v>
          </cell>
        </row>
        <row r="48">
          <cell r="E48">
            <v>0</v>
          </cell>
        </row>
      </sheetData>
      <sheetData sheetId="4">
        <row r="8">
          <cell r="K8">
            <v>437440</v>
          </cell>
        </row>
        <row r="9">
          <cell r="K9">
            <v>0</v>
          </cell>
        </row>
        <row r="10">
          <cell r="K10">
            <v>0</v>
          </cell>
        </row>
        <row r="11">
          <cell r="K11">
            <v>0</v>
          </cell>
        </row>
        <row r="12">
          <cell r="K12">
            <v>0</v>
          </cell>
        </row>
        <row r="13">
          <cell r="K13">
            <v>437440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EmpBenefit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3InstructionalImprovementProj"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INetCache/Content.Outlook/AppData/Local/Microsoft/Windows/INetCache/Content.Outlook/AppData/Local/Microsoft/Windows/School%20District%20Budget/FY%202024%20Budget%20Forms/Prohibited%20formula%20characters/Files%20from%20ADE%203-27-23/IndividualCharterSchoolCoun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3"/>
  <sheetViews>
    <sheetView showGridLines="0" tabSelected="1" zoomScaleNormal="100" workbookViewId="0">
      <selection activeCell="D1" sqref="D1:I1"/>
    </sheetView>
  </sheetViews>
  <sheetFormatPr defaultColWidth="9.453125" defaultRowHeight="12.75" customHeight="1"/>
  <cols>
    <col min="1" max="1" width="8.453125" customWidth="1"/>
    <col min="2" max="2" width="5.453125" customWidth="1"/>
    <col min="3" max="3" width="4.54296875" customWidth="1"/>
    <col min="4" max="4" width="8.453125" customWidth="1"/>
    <col min="5" max="5" width="5.453125" customWidth="1"/>
    <col min="6" max="6" width="11.453125" customWidth="1"/>
    <col min="7" max="7" width="6.54296875" customWidth="1"/>
    <col min="8" max="8" width="3" customWidth="1"/>
    <col min="9" max="9" width="11.453125" customWidth="1"/>
    <col min="10" max="10" width="15" customWidth="1"/>
    <col min="12" max="12" width="9.54296875" customWidth="1"/>
    <col min="13" max="13" width="9.453125" customWidth="1"/>
    <col min="14" max="14" width="11.453125" customWidth="1"/>
    <col min="15" max="15" width="16" customWidth="1"/>
    <col min="16" max="16" width="10" bestFit="1" customWidth="1"/>
    <col min="17" max="17" width="3.54296875" customWidth="1"/>
    <col min="18" max="18" width="13.54296875" customWidth="1"/>
    <col min="19" max="19" width="3.54296875" customWidth="1"/>
    <col min="21" max="21" width="9.54296875" bestFit="1" customWidth="1"/>
  </cols>
  <sheetData>
    <row r="1" spans="1:18" ht="12.75" customHeight="1">
      <c r="A1" s="484" t="s">
        <v>0</v>
      </c>
      <c r="B1" s="485"/>
      <c r="C1" s="485"/>
      <c r="D1" s="489" t="s">
        <v>545</v>
      </c>
      <c r="E1" s="489"/>
      <c r="F1" s="489"/>
      <c r="G1" s="489"/>
      <c r="H1" s="489"/>
      <c r="I1" s="489"/>
      <c r="L1" s="4" t="s">
        <v>1</v>
      </c>
      <c r="M1" s="480" t="s">
        <v>550</v>
      </c>
      <c r="N1" s="480"/>
      <c r="O1" s="127" t="s">
        <v>2</v>
      </c>
      <c r="P1" s="2" t="s">
        <v>551</v>
      </c>
      <c r="Q1" s="128"/>
    </row>
    <row r="2" spans="1:18" ht="12.75" customHeight="1">
      <c r="D2" s="470" t="s">
        <v>3</v>
      </c>
      <c r="E2" s="470"/>
      <c r="F2" s="470"/>
      <c r="G2" s="470"/>
      <c r="H2" s="470"/>
      <c r="I2" s="470"/>
      <c r="M2" s="129"/>
      <c r="Q2" s="129"/>
      <c r="R2" s="5"/>
    </row>
    <row r="3" spans="1:18" ht="12.75" customHeight="1">
      <c r="D3" s="473"/>
      <c r="E3" s="473"/>
      <c r="F3" s="473"/>
      <c r="G3" s="473"/>
      <c r="H3" s="473"/>
      <c r="I3" s="473"/>
      <c r="M3" s="129"/>
      <c r="Q3" s="129"/>
      <c r="R3" s="5"/>
    </row>
    <row r="4" spans="1:18" ht="12.75" customHeight="1">
      <c r="D4" s="470" t="s">
        <v>4</v>
      </c>
      <c r="E4" s="470"/>
      <c r="F4" s="470"/>
      <c r="G4" s="470"/>
      <c r="H4" s="470"/>
      <c r="I4" s="470"/>
      <c r="L4" s="452"/>
      <c r="M4" s="452"/>
      <c r="N4" s="452"/>
      <c r="O4" s="452"/>
      <c r="P4" s="452"/>
      <c r="Q4" s="452"/>
      <c r="R4" s="452"/>
    </row>
    <row r="5" spans="1:18" ht="12.75" customHeight="1">
      <c r="L5" s="486" t="str">
        <f>IF('Data Entry'!F6="","Please enter a SIS Vendor on the Data Entry tab.","")</f>
        <v/>
      </c>
      <c r="M5" s="486"/>
      <c r="N5" s="486"/>
      <c r="O5" s="486"/>
      <c r="P5" s="486"/>
      <c r="Q5" s="486"/>
      <c r="R5" s="486"/>
    </row>
    <row r="6" spans="1:18" ht="18" customHeight="1">
      <c r="A6" s="129"/>
      <c r="B6" s="464" t="s">
        <v>476</v>
      </c>
      <c r="C6" s="464"/>
      <c r="D6" s="464"/>
      <c r="E6" s="464"/>
      <c r="F6" s="464"/>
      <c r="G6" s="464"/>
      <c r="H6" s="464"/>
      <c r="I6" s="464"/>
      <c r="J6" s="91"/>
      <c r="K6" s="130" t="s">
        <v>5</v>
      </c>
      <c r="L6" s="466" t="s">
        <v>478</v>
      </c>
      <c r="M6" s="466"/>
      <c r="N6" s="466"/>
      <c r="O6" s="466"/>
      <c r="P6" s="466"/>
      <c r="Q6" s="409" t="s">
        <v>6</v>
      </c>
      <c r="R6" s="131">
        <f>[1]Cover!$R$13</f>
        <v>5454611</v>
      </c>
    </row>
    <row r="7" spans="1:18" ht="12.5">
      <c r="A7" s="129"/>
      <c r="B7" s="129"/>
      <c r="C7" s="129"/>
      <c r="D7" s="129"/>
      <c r="E7" s="129"/>
      <c r="F7" s="129"/>
      <c r="G7" s="129"/>
      <c r="J7" s="91"/>
      <c r="K7" s="130"/>
      <c r="L7" s="466"/>
      <c r="M7" s="466"/>
      <c r="N7" s="466"/>
      <c r="O7" s="466"/>
      <c r="P7" s="466"/>
      <c r="Q7" s="409"/>
      <c r="R7" s="132"/>
    </row>
    <row r="8" spans="1:18" ht="18" customHeight="1">
      <c r="A8" s="129"/>
      <c r="B8" s="464" t="s">
        <v>7</v>
      </c>
      <c r="C8" s="464"/>
      <c r="D8" s="464"/>
      <c r="E8" s="464"/>
      <c r="F8" s="464"/>
      <c r="G8" s="464"/>
      <c r="H8" s="464"/>
      <c r="I8" s="464"/>
      <c r="J8" s="133"/>
      <c r="K8" s="130" t="s">
        <v>8</v>
      </c>
      <c r="L8" s="474" t="s">
        <v>479</v>
      </c>
      <c r="M8" s="474"/>
      <c r="N8" s="475"/>
      <c r="O8" s="475"/>
      <c r="P8" s="475"/>
      <c r="Q8" s="475"/>
      <c r="R8" s="132"/>
    </row>
    <row r="9" spans="1:18" ht="12.5">
      <c r="A9" s="129"/>
      <c r="B9" s="129"/>
      <c r="C9" s="129"/>
      <c r="D9" s="129"/>
      <c r="E9" s="129"/>
      <c r="F9" s="129"/>
      <c r="G9" s="129"/>
      <c r="J9" s="91"/>
      <c r="L9" s="129"/>
      <c r="M9" s="129"/>
      <c r="N9" s="129"/>
      <c r="O9" t="s">
        <v>9</v>
      </c>
      <c r="P9" s="134" t="s">
        <v>10</v>
      </c>
      <c r="Q9" s="409" t="s">
        <v>6</v>
      </c>
      <c r="R9" s="10">
        <v>50720</v>
      </c>
    </row>
    <row r="10" spans="1:18" ht="12.75" customHeight="1">
      <c r="A10" s="129"/>
      <c r="B10" s="465" t="s">
        <v>11</v>
      </c>
      <c r="C10" s="465"/>
      <c r="D10" s="465"/>
      <c r="E10" s="465"/>
      <c r="F10" s="465"/>
      <c r="G10" s="465"/>
      <c r="H10" s="465"/>
      <c r="I10" s="465"/>
      <c r="J10" s="476"/>
      <c r="K10" s="130"/>
      <c r="L10" s="135"/>
      <c r="M10" s="135"/>
      <c r="N10" s="135"/>
      <c r="O10" t="s">
        <v>12</v>
      </c>
      <c r="P10" s="134" t="s">
        <v>13</v>
      </c>
      <c r="Q10" s="409" t="s">
        <v>6</v>
      </c>
      <c r="R10" s="10"/>
    </row>
    <row r="11" spans="1:18" ht="12.75" customHeight="1">
      <c r="A11" s="129"/>
      <c r="B11" s="465"/>
      <c r="C11" s="465"/>
      <c r="D11" s="465"/>
      <c r="E11" s="465"/>
      <c r="F11" s="465"/>
      <c r="G11" s="465"/>
      <c r="H11" s="465"/>
      <c r="I11" s="465"/>
      <c r="J11" s="476"/>
      <c r="O11" t="s">
        <v>14</v>
      </c>
      <c r="P11" s="134" t="s">
        <v>15</v>
      </c>
      <c r="Q11" s="409" t="s">
        <v>6</v>
      </c>
      <c r="R11" s="10">
        <v>4616957</v>
      </c>
    </row>
    <row r="12" spans="1:18" ht="12.75" customHeight="1">
      <c r="A12" s="129"/>
      <c r="B12" s="129"/>
      <c r="C12" s="129"/>
      <c r="D12" s="473" t="s">
        <v>28</v>
      </c>
      <c r="E12" s="473"/>
      <c r="F12" s="473"/>
      <c r="G12" s="473"/>
      <c r="H12" s="473"/>
      <c r="J12" s="91"/>
      <c r="O12" t="s">
        <v>16</v>
      </c>
      <c r="P12" s="134" t="s">
        <v>17</v>
      </c>
      <c r="Q12" s="409" t="s">
        <v>6</v>
      </c>
      <c r="R12" s="10">
        <v>740861</v>
      </c>
    </row>
    <row r="13" spans="1:18" ht="12.75" customHeight="1">
      <c r="B13" s="471" t="s">
        <v>18</v>
      </c>
      <c r="C13" s="471"/>
      <c r="D13" s="472"/>
      <c r="E13" s="472"/>
      <c r="F13" s="472"/>
      <c r="G13" s="472"/>
      <c r="H13" s="472"/>
      <c r="I13" s="471"/>
      <c r="J13" s="91"/>
      <c r="O13" t="s">
        <v>19</v>
      </c>
      <c r="Q13" s="409" t="s">
        <v>6</v>
      </c>
      <c r="R13" s="131">
        <f>SUM(R9:R12)</f>
        <v>5408538</v>
      </c>
    </row>
    <row r="14" spans="1:18" ht="12.75" customHeight="1">
      <c r="J14" s="91"/>
      <c r="P14" s="134"/>
      <c r="Q14" s="409"/>
      <c r="R14" s="132"/>
    </row>
    <row r="15" spans="1:18" ht="12.75" customHeight="1">
      <c r="A15" s="479" t="s">
        <v>457</v>
      </c>
      <c r="B15" s="479"/>
      <c r="C15" s="479"/>
      <c r="D15" s="479"/>
      <c r="E15" s="479"/>
      <c r="F15" s="477" t="s">
        <v>552</v>
      </c>
      <c r="G15" s="477"/>
      <c r="H15" s="477"/>
      <c r="I15" s="477"/>
      <c r="J15" s="478"/>
      <c r="L15" s="469" t="s">
        <v>20</v>
      </c>
      <c r="M15" s="469"/>
      <c r="N15" s="469"/>
      <c r="O15" s="477" t="s">
        <v>540</v>
      </c>
      <c r="P15" s="477"/>
      <c r="Q15" s="477"/>
      <c r="R15" s="477"/>
    </row>
    <row r="16" spans="1:18" ht="12.75" customHeight="1">
      <c r="J16" s="91"/>
      <c r="L16" t="s">
        <v>22</v>
      </c>
      <c r="M16" s="463">
        <v>5207923245</v>
      </c>
      <c r="N16" s="463"/>
      <c r="O16" s="409" t="s">
        <v>23</v>
      </c>
      <c r="P16" s="483" t="s">
        <v>541</v>
      </c>
      <c r="Q16" s="483"/>
      <c r="R16" s="483"/>
    </row>
    <row r="17" spans="1:21" ht="12.75" customHeight="1">
      <c r="A17" s="5"/>
      <c r="B17" s="488" t="s">
        <v>21</v>
      </c>
      <c r="C17" s="488"/>
      <c r="D17" s="488"/>
      <c r="E17" s="488"/>
      <c r="F17" s="488"/>
      <c r="G17" s="488"/>
      <c r="H17" s="488"/>
      <c r="I17" s="488"/>
      <c r="J17" s="91"/>
      <c r="P17" s="134"/>
      <c r="Q17" s="409"/>
      <c r="R17" s="132"/>
    </row>
    <row r="18" spans="1:21" ht="12.75" customHeight="1">
      <c r="J18" s="91"/>
      <c r="L18" s="469" t="s">
        <v>480</v>
      </c>
      <c r="M18" s="469"/>
      <c r="N18" s="469"/>
      <c r="O18" s="469"/>
      <c r="P18" s="469"/>
      <c r="Q18" s="469"/>
      <c r="R18" s="469"/>
    </row>
    <row r="19" spans="1:21" ht="12.75" customHeight="1">
      <c r="J19" s="91"/>
      <c r="L19" s="469" t="s">
        <v>24</v>
      </c>
      <c r="M19" s="469"/>
      <c r="N19" s="469"/>
      <c r="O19" s="469"/>
      <c r="P19" s="467">
        <v>45850</v>
      </c>
      <c r="Q19" s="467"/>
      <c r="R19" s="467"/>
    </row>
    <row r="20" spans="1:21" ht="12.75" customHeight="1">
      <c r="B20" s="488" t="s">
        <v>477</v>
      </c>
      <c r="C20" s="488"/>
      <c r="D20" s="488"/>
      <c r="E20" s="488"/>
      <c r="F20" s="488"/>
      <c r="G20" s="488"/>
      <c r="H20" s="488"/>
      <c r="I20" s="488"/>
      <c r="J20" s="91"/>
      <c r="L20" s="468" t="s">
        <v>26</v>
      </c>
      <c r="M20" s="468"/>
      <c r="N20" s="468"/>
      <c r="O20" s="468"/>
      <c r="P20" s="470" t="s">
        <v>27</v>
      </c>
      <c r="Q20" s="470"/>
      <c r="R20" s="470"/>
    </row>
    <row r="21" spans="1:21" ht="12.75" customHeight="1">
      <c r="C21" s="469" t="s">
        <v>25</v>
      </c>
      <c r="D21" s="469"/>
      <c r="F21" s="467">
        <v>45839</v>
      </c>
      <c r="G21" s="467"/>
      <c r="H21" s="467"/>
      <c r="I21" s="136" t="str">
        <f>IF(AND(ISNUMBER(SEARCH("Proposed*",D12)),F21=""),"Please enter a Proposed Date","")</f>
        <v/>
      </c>
      <c r="J21" s="91"/>
      <c r="L21" s="462"/>
      <c r="M21" s="462"/>
      <c r="N21" s="462"/>
      <c r="O21" s="462"/>
      <c r="P21" s="462"/>
      <c r="Q21" s="462"/>
      <c r="R21" s="462"/>
    </row>
    <row r="22" spans="1:21" ht="12.75" customHeight="1">
      <c r="C22" s="469" t="s">
        <v>28</v>
      </c>
      <c r="D22" s="469"/>
      <c r="F22" s="487">
        <v>45849</v>
      </c>
      <c r="G22" s="487"/>
      <c r="H22" s="487"/>
      <c r="I22" s="136" t="str">
        <f>IF(AND(ISNUMBER(SEARCH("Adopted*",D12)),F22=""),"Please enter an Adopted Date","")</f>
        <v/>
      </c>
      <c r="J22" s="91"/>
      <c r="L22" s="473"/>
      <c r="M22" s="473"/>
      <c r="N22" s="473"/>
      <c r="O22" s="139"/>
      <c r="P22" s="473"/>
      <c r="Q22" s="473"/>
      <c r="R22" s="473"/>
    </row>
    <row r="23" spans="1:21" ht="12.75" customHeight="1">
      <c r="A23" s="5"/>
      <c r="C23" s="469" t="s">
        <v>29</v>
      </c>
      <c r="D23" s="469"/>
      <c r="F23" s="491"/>
      <c r="G23" s="491"/>
      <c r="H23" s="491"/>
      <c r="I23" s="137" t="str">
        <f>IF(AND(ISNUMBER(SEARCH("Revised*",D12)),F23=""),"Please enter a Revised Date","")</f>
        <v/>
      </c>
      <c r="J23" s="138"/>
      <c r="L23" s="470" t="s">
        <v>31</v>
      </c>
      <c r="M23" s="470"/>
      <c r="N23" s="470"/>
      <c r="O23" s="140"/>
      <c r="P23" s="470" t="s">
        <v>31</v>
      </c>
      <c r="Q23" s="470"/>
      <c r="R23" s="470"/>
      <c r="S23" s="141"/>
      <c r="T23" s="141"/>
      <c r="U23" s="141"/>
    </row>
    <row r="24" spans="1:21" ht="12.75" customHeight="1">
      <c r="F24" s="470" t="s">
        <v>30</v>
      </c>
      <c r="G24" s="470"/>
      <c r="H24" s="470"/>
      <c r="J24" s="91"/>
    </row>
    <row r="25" spans="1:21" ht="12.75" customHeight="1">
      <c r="B25" s="6"/>
      <c r="E25" s="142"/>
      <c r="J25" s="91"/>
      <c r="L25" s="468" t="str">
        <f>IF(OR(L26="",P26=""),"Please enter typed school official names","")</f>
        <v/>
      </c>
      <c r="M25" s="468"/>
      <c r="N25" s="468"/>
      <c r="O25" s="468"/>
      <c r="P25" s="468"/>
      <c r="Q25" s="468"/>
      <c r="R25" s="468"/>
      <c r="U25" s="143"/>
    </row>
    <row r="26" spans="1:21" ht="12.75" customHeight="1">
      <c r="A26" s="481"/>
      <c r="B26" s="481"/>
      <c r="C26" s="481"/>
      <c r="D26" s="481"/>
      <c r="E26" s="481"/>
      <c r="F26" s="481"/>
      <c r="G26" s="481"/>
      <c r="H26" s="481"/>
      <c r="I26" s="481"/>
      <c r="J26" s="482"/>
      <c r="L26" s="473" t="s">
        <v>540</v>
      </c>
      <c r="M26" s="473"/>
      <c r="N26" s="473"/>
      <c r="O26" s="140"/>
      <c r="P26" s="473" t="s">
        <v>542</v>
      </c>
      <c r="Q26" s="473"/>
      <c r="R26" s="473"/>
    </row>
    <row r="27" spans="1:21" ht="12.75" customHeight="1">
      <c r="A27" s="481"/>
      <c r="B27" s="481"/>
      <c r="C27" s="481"/>
      <c r="D27" s="481"/>
      <c r="E27" s="481"/>
      <c r="F27" s="481"/>
      <c r="G27" s="481"/>
      <c r="H27" s="481"/>
      <c r="I27" s="481"/>
      <c r="J27" s="482"/>
      <c r="L27" s="470" t="s">
        <v>32</v>
      </c>
      <c r="M27" s="470"/>
      <c r="N27" s="470"/>
      <c r="O27" s="140"/>
      <c r="P27" s="470" t="s">
        <v>32</v>
      </c>
      <c r="Q27" s="470"/>
      <c r="R27" s="470"/>
    </row>
    <row r="28" spans="1:21" ht="12.75" customHeight="1">
      <c r="A28" s="481"/>
      <c r="B28" s="481"/>
      <c r="C28" s="481"/>
      <c r="D28" s="481"/>
      <c r="E28" s="481"/>
      <c r="F28" s="481"/>
      <c r="G28" s="481"/>
      <c r="H28" s="481"/>
      <c r="I28" s="481"/>
      <c r="J28" s="482"/>
    </row>
    <row r="29" spans="1:21" ht="12.75" customHeight="1">
      <c r="B29" s="5"/>
      <c r="C29" s="6"/>
      <c r="D29" s="6"/>
      <c r="F29" s="5"/>
      <c r="G29" s="144"/>
      <c r="H29" s="129"/>
      <c r="I29" s="129"/>
      <c r="J29" s="133"/>
      <c r="L29" s="474" t="s">
        <v>33</v>
      </c>
      <c r="M29" s="474"/>
      <c r="N29" s="492"/>
      <c r="O29" s="492"/>
      <c r="P29" s="492"/>
      <c r="Q29" s="492"/>
      <c r="R29" s="492"/>
      <c r="S29" s="474"/>
    </row>
    <row r="30" spans="1:21" ht="12" customHeight="1" thickBot="1">
      <c r="A30" s="473"/>
      <c r="B30" s="473"/>
      <c r="C30" s="473"/>
      <c r="D30" s="473"/>
      <c r="E30" s="473"/>
      <c r="F30" s="5"/>
      <c r="G30" s="490"/>
      <c r="H30" s="490"/>
      <c r="I30" s="490"/>
      <c r="J30" s="133"/>
      <c r="L30" s="468" t="str">
        <f>IF((BudgetYearSalary)=0,"Average teacher salary information is not complete.",IF(AND((PriorYearSalary)=0,(L31)=""),"Average teacher salary information is not complete.",""))</f>
        <v/>
      </c>
      <c r="M30" s="468"/>
      <c r="N30" s="468"/>
      <c r="O30" s="468"/>
      <c r="P30" s="468"/>
      <c r="Q30" s="468"/>
      <c r="R30" s="468"/>
      <c r="S30" s="3"/>
    </row>
    <row r="31" spans="1:21" ht="13.5" customHeight="1" thickBot="1">
      <c r="H31" s="129"/>
      <c r="I31" s="129"/>
      <c r="J31" s="133"/>
      <c r="L31" s="32"/>
      <c r="M31" s="145" t="s">
        <v>481</v>
      </c>
      <c r="N31" s="94"/>
      <c r="O31" s="94"/>
      <c r="P31" s="94"/>
      <c r="Q31" s="94"/>
      <c r="R31" s="94"/>
    </row>
    <row r="32" spans="1:21" ht="12.75" customHeight="1">
      <c r="A32" s="473"/>
      <c r="B32" s="473"/>
      <c r="C32" s="473"/>
      <c r="D32" s="473"/>
      <c r="E32" s="473"/>
      <c r="F32" s="5"/>
      <c r="G32" s="490"/>
      <c r="H32" s="490"/>
      <c r="I32" s="490"/>
      <c r="J32" s="91"/>
      <c r="L32" s="145" t="s">
        <v>482</v>
      </c>
      <c r="M32" s="146"/>
      <c r="N32" s="146"/>
      <c r="O32" s="147"/>
      <c r="P32" s="147"/>
      <c r="Q32" s="409" t="s">
        <v>6</v>
      </c>
      <c r="R32" s="26">
        <v>40315</v>
      </c>
      <c r="S32" s="148" t="str">
        <f>IF(OR(BudgetYearSalary=0,PriorYearSalary=0),1/ERROR,"")</f>
        <v/>
      </c>
    </row>
    <row r="33" spans="1:18" ht="12.75" customHeight="1">
      <c r="J33" s="91"/>
      <c r="L33" s="145" t="s">
        <v>483</v>
      </c>
      <c r="O33" s="147"/>
      <c r="P33" s="147"/>
      <c r="Q33" s="409" t="s">
        <v>6</v>
      </c>
      <c r="R33" s="10">
        <v>40821</v>
      </c>
    </row>
    <row r="34" spans="1:18" ht="12.75" customHeight="1">
      <c r="A34" s="473"/>
      <c r="B34" s="473"/>
      <c r="C34" s="473"/>
      <c r="D34" s="473"/>
      <c r="E34" s="473"/>
      <c r="F34" s="5"/>
      <c r="G34" s="490"/>
      <c r="H34" s="490"/>
      <c r="I34" s="490"/>
      <c r="J34" s="91"/>
      <c r="L34" s="145" t="s">
        <v>484</v>
      </c>
      <c r="O34" s="147"/>
      <c r="P34" s="147"/>
      <c r="Q34" s="409" t="s">
        <v>6</v>
      </c>
      <c r="R34" s="131">
        <f>R32-R33</f>
        <v>-506</v>
      </c>
    </row>
    <row r="35" spans="1:18" ht="12.75" customHeight="1">
      <c r="J35" s="91"/>
      <c r="L35" s="145" t="s">
        <v>34</v>
      </c>
      <c r="Q35" s="409"/>
      <c r="R35" s="149">
        <f>IF(PriorYearSalary&gt;0,R34/R33,0)</f>
        <v>-1.2E-2</v>
      </c>
    </row>
    <row r="36" spans="1:18" ht="12.75" customHeight="1">
      <c r="A36" s="473"/>
      <c r="B36" s="473"/>
      <c r="C36" s="473"/>
      <c r="D36" s="473"/>
      <c r="E36" s="473"/>
      <c r="F36" s="5"/>
      <c r="G36" s="490"/>
      <c r="H36" s="490"/>
      <c r="I36" s="490"/>
      <c r="J36" s="91"/>
      <c r="L36" s="453" t="s">
        <v>543</v>
      </c>
      <c r="M36" s="454"/>
      <c r="N36" s="454"/>
      <c r="O36" s="454"/>
      <c r="P36" s="454"/>
      <c r="Q36" s="454"/>
      <c r="R36" s="455"/>
    </row>
    <row r="37" spans="1:18" ht="12.75" customHeight="1">
      <c r="D37" s="129"/>
      <c r="E37" s="129"/>
      <c r="F37" s="129"/>
      <c r="G37" s="129"/>
      <c r="J37" s="91"/>
      <c r="K37" s="53"/>
      <c r="L37" s="456"/>
      <c r="M37" s="457"/>
      <c r="N37" s="457"/>
      <c r="O37" s="457"/>
      <c r="P37" s="457"/>
      <c r="Q37" s="457"/>
      <c r="R37" s="458"/>
    </row>
    <row r="38" spans="1:18" ht="12.75" customHeight="1">
      <c r="A38" s="473"/>
      <c r="B38" s="473"/>
      <c r="C38" s="473"/>
      <c r="D38" s="473"/>
      <c r="E38" s="473"/>
      <c r="F38" s="5"/>
      <c r="G38" s="490"/>
      <c r="H38" s="490"/>
      <c r="I38" s="490"/>
      <c r="K38" s="53"/>
      <c r="L38" s="456"/>
      <c r="M38" s="457"/>
      <c r="N38" s="457"/>
      <c r="O38" s="457"/>
      <c r="P38" s="457"/>
      <c r="Q38" s="457"/>
      <c r="R38" s="458"/>
    </row>
    <row r="39" spans="1:18" ht="12.75" customHeight="1">
      <c r="D39" s="129"/>
      <c r="E39" s="129"/>
      <c r="F39" s="129"/>
      <c r="G39" s="129"/>
      <c r="K39" s="53"/>
      <c r="L39" s="456"/>
      <c r="M39" s="457"/>
      <c r="N39" s="457"/>
      <c r="O39" s="457"/>
      <c r="P39" s="457"/>
      <c r="Q39" s="457"/>
      <c r="R39" s="458"/>
    </row>
    <row r="40" spans="1:18" ht="12.75" customHeight="1">
      <c r="A40" s="473"/>
      <c r="B40" s="473"/>
      <c r="C40" s="473"/>
      <c r="D40" s="473"/>
      <c r="E40" s="473"/>
      <c r="F40" s="5"/>
      <c r="G40" s="490"/>
      <c r="H40" s="490"/>
      <c r="I40" s="490"/>
      <c r="K40" s="53"/>
      <c r="L40" s="456"/>
      <c r="M40" s="457"/>
      <c r="N40" s="457"/>
      <c r="O40" s="457"/>
      <c r="P40" s="457"/>
      <c r="Q40" s="457"/>
      <c r="R40" s="458"/>
    </row>
    <row r="41" spans="1:18" ht="12.75" customHeight="1">
      <c r="D41" s="129"/>
      <c r="E41" s="129"/>
      <c r="F41" s="129"/>
      <c r="G41" s="129"/>
      <c r="K41" s="53"/>
      <c r="L41" s="456"/>
      <c r="M41" s="457"/>
      <c r="N41" s="457"/>
      <c r="O41" s="457"/>
      <c r="P41" s="457"/>
      <c r="Q41" s="457"/>
      <c r="R41" s="458"/>
    </row>
    <row r="42" spans="1:18" ht="12.75" customHeight="1">
      <c r="A42" s="473"/>
      <c r="B42" s="473"/>
      <c r="C42" s="473"/>
      <c r="D42" s="473"/>
      <c r="E42" s="473"/>
      <c r="F42" s="5"/>
      <c r="G42" s="490"/>
      <c r="H42" s="490"/>
      <c r="I42" s="490"/>
      <c r="K42" s="53"/>
      <c r="L42" s="459"/>
      <c r="M42" s="460"/>
      <c r="N42" s="460"/>
      <c r="O42" s="460"/>
      <c r="P42" s="460"/>
      <c r="Q42" s="460"/>
      <c r="R42" s="461"/>
    </row>
    <row r="43" spans="1:18" ht="12.75" customHeight="1">
      <c r="A43" s="470" t="s">
        <v>35</v>
      </c>
      <c r="B43" s="470"/>
      <c r="C43" s="470"/>
      <c r="D43" s="470"/>
      <c r="E43" s="470"/>
      <c r="F43" s="150"/>
      <c r="G43" s="470" t="s">
        <v>36</v>
      </c>
      <c r="H43" s="470"/>
      <c r="I43" s="470"/>
    </row>
  </sheetData>
  <sheetProtection sheet="1" formatColumns="0" formatRows="0"/>
  <mergeCells count="70">
    <mergeCell ref="L29:S29"/>
    <mergeCell ref="L30:R30"/>
    <mergeCell ref="G40:I40"/>
    <mergeCell ref="P23:R23"/>
    <mergeCell ref="P27:R27"/>
    <mergeCell ref="P26:R26"/>
    <mergeCell ref="A28:J28"/>
    <mergeCell ref="F24:H24"/>
    <mergeCell ref="A43:E43"/>
    <mergeCell ref="A38:E38"/>
    <mergeCell ref="A40:E40"/>
    <mergeCell ref="G42:I42"/>
    <mergeCell ref="G43:I43"/>
    <mergeCell ref="A42:E42"/>
    <mergeCell ref="D1:I1"/>
    <mergeCell ref="D2:I2"/>
    <mergeCell ref="D3:I3"/>
    <mergeCell ref="G38:I38"/>
    <mergeCell ref="D12:H12"/>
    <mergeCell ref="D4:I4"/>
    <mergeCell ref="G34:I34"/>
    <mergeCell ref="F23:H23"/>
    <mergeCell ref="A32:E32"/>
    <mergeCell ref="A30:E30"/>
    <mergeCell ref="A36:E36"/>
    <mergeCell ref="G36:I36"/>
    <mergeCell ref="A34:E34"/>
    <mergeCell ref="G32:I32"/>
    <mergeCell ref="G30:I30"/>
    <mergeCell ref="M1:N1"/>
    <mergeCell ref="L27:N27"/>
    <mergeCell ref="O15:R15"/>
    <mergeCell ref="A27:J27"/>
    <mergeCell ref="P16:R16"/>
    <mergeCell ref="A1:C1"/>
    <mergeCell ref="L26:N26"/>
    <mergeCell ref="L5:R5"/>
    <mergeCell ref="C21:D21"/>
    <mergeCell ref="A26:J26"/>
    <mergeCell ref="F22:H22"/>
    <mergeCell ref="C23:D23"/>
    <mergeCell ref="B17:I17"/>
    <mergeCell ref="B20:I20"/>
    <mergeCell ref="P22:R22"/>
    <mergeCell ref="L23:N23"/>
    <mergeCell ref="L15:N15"/>
    <mergeCell ref="L22:N22"/>
    <mergeCell ref="L18:R18"/>
    <mergeCell ref="L8:Q8"/>
    <mergeCell ref="B11:I11"/>
    <mergeCell ref="L19:O19"/>
    <mergeCell ref="J10:J11"/>
    <mergeCell ref="F15:J15"/>
    <mergeCell ref="A15:E15"/>
    <mergeCell ref="L4:R4"/>
    <mergeCell ref="L36:R42"/>
    <mergeCell ref="L21:R21"/>
    <mergeCell ref="M16:N16"/>
    <mergeCell ref="B6:I6"/>
    <mergeCell ref="B8:I8"/>
    <mergeCell ref="B10:I10"/>
    <mergeCell ref="L6:P6"/>
    <mergeCell ref="L7:P7"/>
    <mergeCell ref="P19:R19"/>
    <mergeCell ref="L25:R25"/>
    <mergeCell ref="F21:H21"/>
    <mergeCell ref="C22:D22"/>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1:H21"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3:H23" xr:uid="{00000000-0002-0000-0000-000002000000}">
      <formula1>F22</formula1>
    </dataValidation>
    <dataValidation type="date" operator="greaterThan" allowBlank="1" showInputMessage="1" showErrorMessage="1" errorTitle="Date" error="Adopted date must be greater than proposed date" promptTitle="Enter Date as" prompt="MM/DD/YYYY" sqref="F22:H22" xr:uid="{00000000-0002-0000-0000-000003000000}">
      <formula1>F21</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A15:E15" location="websitelink" display="Charter website link of posted budget" xr:uid="{00000000-0004-0000-0000-000004000000}"/>
  </hyperlinks>
  <printOptions horizontalCentered="1" verticalCentered="1"/>
  <pageMargins left="0.75" right="0.5" top="0.25" bottom="0.25" header="0" footer="0"/>
  <pageSetup scale="76" orientation="landscape" r:id="rId1"/>
  <headerFooter>
    <oddFooter>&amp;L&amp;"Arial,Bold"Rev. 5/25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zoomScaleNormal="100" zoomScaleSheetLayoutView="100" workbookViewId="0">
      <selection activeCell="G58" sqref="G58"/>
    </sheetView>
  </sheetViews>
  <sheetFormatPr defaultColWidth="9" defaultRowHeight="12.75" customHeight="1"/>
  <cols>
    <col min="1" max="2" width="1.54296875" customWidth="1"/>
    <col min="3" max="3" width="14.54296875" customWidth="1"/>
    <col min="4" max="4" width="41.453125" customWidth="1"/>
    <col min="5" max="5" width="4" customWidth="1"/>
    <col min="6" max="13" width="12.54296875" customWidth="1"/>
    <col min="14" max="14" width="4" style="6" customWidth="1"/>
    <col min="15" max="15" width="9" customWidth="1"/>
  </cols>
  <sheetData>
    <row r="1" spans="1:14" ht="12" customHeight="1">
      <c r="A1" t="s">
        <v>0</v>
      </c>
      <c r="D1" s="493" t="str">
        <f>CharterName</f>
        <v>Tucson International Academy</v>
      </c>
      <c r="E1" s="493"/>
      <c r="F1" s="493"/>
      <c r="H1" s="409" t="s">
        <v>1</v>
      </c>
      <c r="I1" s="494" t="str">
        <f>Cover!M1</f>
        <v>Pima</v>
      </c>
      <c r="J1" s="494"/>
      <c r="L1" s="409" t="s">
        <v>2</v>
      </c>
      <c r="M1" s="494" t="str">
        <f>CTD</f>
        <v>108714000</v>
      </c>
      <c r="N1" s="494"/>
    </row>
    <row r="2" spans="1:14" ht="3.75" customHeight="1">
      <c r="A2" s="193"/>
      <c r="B2" s="193"/>
      <c r="C2" s="193"/>
      <c r="D2" s="193"/>
      <c r="E2" s="193"/>
      <c r="F2" s="193"/>
      <c r="G2" s="193"/>
      <c r="H2" s="193"/>
      <c r="I2" s="193"/>
      <c r="J2" s="405"/>
      <c r="K2" s="405"/>
      <c r="L2" s="405"/>
      <c r="M2" s="405"/>
    </row>
    <row r="3" spans="1:14" ht="12" customHeight="1">
      <c r="B3" s="194"/>
      <c r="F3" s="195"/>
      <c r="H3" s="195" t="s">
        <v>66</v>
      </c>
      <c r="I3" s="195"/>
      <c r="J3" s="195"/>
      <c r="K3" s="196" t="s">
        <v>67</v>
      </c>
      <c r="L3" s="197"/>
      <c r="M3" s="198"/>
      <c r="N3" s="82"/>
    </row>
    <row r="4" spans="1:14" ht="12" customHeight="1">
      <c r="A4" t="s">
        <v>68</v>
      </c>
      <c r="D4" s="495"/>
      <c r="F4" s="199"/>
      <c r="G4" s="200" t="s">
        <v>69</v>
      </c>
      <c r="H4" s="195" t="s">
        <v>70</v>
      </c>
      <c r="J4" s="199"/>
      <c r="K4" s="195" t="s">
        <v>71</v>
      </c>
      <c r="L4" s="195" t="s">
        <v>72</v>
      </c>
      <c r="M4" s="107" t="s">
        <v>73</v>
      </c>
      <c r="N4" s="82"/>
    </row>
    <row r="5" spans="1:14" ht="12" customHeight="1">
      <c r="D5" s="495"/>
      <c r="F5" s="195" t="s">
        <v>74</v>
      </c>
      <c r="G5" s="200" t="s">
        <v>75</v>
      </c>
      <c r="H5" s="195" t="s">
        <v>76</v>
      </c>
      <c r="I5" s="195" t="s">
        <v>77</v>
      </c>
      <c r="J5" s="195" t="s">
        <v>78</v>
      </c>
      <c r="K5" s="195" t="s">
        <v>79</v>
      </c>
      <c r="L5" s="195" t="s">
        <v>79</v>
      </c>
      <c r="M5" s="107" t="s">
        <v>80</v>
      </c>
      <c r="N5" s="82"/>
    </row>
    <row r="6" spans="1:14" ht="12" customHeight="1">
      <c r="A6" s="201" t="s">
        <v>81</v>
      </c>
      <c r="B6" s="405"/>
      <c r="C6" s="405"/>
      <c r="D6" s="405"/>
      <c r="E6" s="405"/>
      <c r="F6" s="202">
        <v>6100</v>
      </c>
      <c r="G6" s="202">
        <v>6200</v>
      </c>
      <c r="H6" s="202">
        <v>6500</v>
      </c>
      <c r="I6" s="202">
        <v>6600</v>
      </c>
      <c r="J6" s="202">
        <v>6800</v>
      </c>
      <c r="K6" s="195">
        <v>2025</v>
      </c>
      <c r="L6" s="107">
        <v>2026</v>
      </c>
      <c r="M6" s="107" t="s">
        <v>82</v>
      </c>
      <c r="N6" s="82"/>
    </row>
    <row r="7" spans="1:14" ht="12" customHeight="1">
      <c r="A7" t="s">
        <v>83</v>
      </c>
      <c r="F7" s="203"/>
      <c r="G7" s="203"/>
      <c r="H7" s="203"/>
      <c r="I7" s="203"/>
      <c r="J7" s="204"/>
      <c r="K7" s="205"/>
      <c r="L7" s="205"/>
      <c r="M7" s="206"/>
    </row>
    <row r="8" spans="1:14" ht="12" customHeight="1">
      <c r="B8" t="s">
        <v>84</v>
      </c>
      <c r="E8" s="393">
        <v>1</v>
      </c>
      <c r="F8" s="7">
        <f>761409+35000+15744</f>
        <v>812153</v>
      </c>
      <c r="G8" s="7">
        <f>100811+8183+3742</f>
        <v>112736</v>
      </c>
      <c r="H8" s="7">
        <v>38450</v>
      </c>
      <c r="I8" s="7">
        <v>29900</v>
      </c>
      <c r="J8" s="22"/>
      <c r="K8" s="209">
        <f>[1]!SP1000P100F1000</f>
        <v>947352</v>
      </c>
      <c r="L8" s="209">
        <f>SUM(F8:J8)</f>
        <v>993239</v>
      </c>
      <c r="M8" s="210">
        <f>IF(K8=0," ",(L8-K8)/K8)</f>
        <v>4.8000000000000001E-2</v>
      </c>
      <c r="N8" s="211">
        <v>1</v>
      </c>
    </row>
    <row r="9" spans="1:14" ht="12" customHeight="1">
      <c r="B9" t="s">
        <v>85</v>
      </c>
      <c r="E9" s="393"/>
      <c r="F9" s="203"/>
      <c r="G9" s="203"/>
      <c r="H9" s="203"/>
      <c r="I9" s="203"/>
      <c r="J9" s="204"/>
      <c r="K9" s="206"/>
      <c r="L9" s="206"/>
      <c r="M9" s="206"/>
      <c r="N9" s="211"/>
    </row>
    <row r="10" spans="1:14" ht="12" customHeight="1">
      <c r="B10" t="s">
        <v>86</v>
      </c>
      <c r="E10" s="393">
        <v>2</v>
      </c>
      <c r="F10" s="7">
        <v>76050</v>
      </c>
      <c r="G10" s="7">
        <v>14259</v>
      </c>
      <c r="H10" s="7">
        <v>45724</v>
      </c>
      <c r="I10" s="7">
        <v>3450</v>
      </c>
      <c r="J10" s="22">
        <v>3400</v>
      </c>
      <c r="K10" s="207">
        <f>[1]!SP1000P100F2100</f>
        <v>32318</v>
      </c>
      <c r="L10" s="207">
        <f>SUM(F10:J10)</f>
        <v>142883</v>
      </c>
      <c r="M10" s="212">
        <f>IF(K10=0," ",(L10-K10)/K10)</f>
        <v>3.4209999999999998</v>
      </c>
      <c r="N10" s="211">
        <v>2</v>
      </c>
    </row>
    <row r="11" spans="1:14" ht="12" customHeight="1">
      <c r="B11" t="s">
        <v>87</v>
      </c>
      <c r="E11" s="393">
        <v>3</v>
      </c>
      <c r="F11" s="7">
        <v>75450</v>
      </c>
      <c r="G11" s="7">
        <v>12721</v>
      </c>
      <c r="H11" s="7">
        <f>2420+32840</f>
        <v>35260</v>
      </c>
      <c r="I11" s="7"/>
      <c r="J11" s="7">
        <v>100</v>
      </c>
      <c r="K11" s="207">
        <f>[1]!SP1000P100F2200</f>
        <v>35139</v>
      </c>
      <c r="L11" s="207">
        <f t="shared" ref="L11:L23" si="0">SUM(F11:J11)</f>
        <v>123531</v>
      </c>
      <c r="M11" s="212">
        <f t="shared" ref="M11:M23" si="1">IF(K11=0," ",(L11-K11)/K11)</f>
        <v>2.5150000000000001</v>
      </c>
      <c r="N11" s="213">
        <v>3</v>
      </c>
    </row>
    <row r="12" spans="1:14" ht="12" customHeight="1">
      <c r="B12" t="s">
        <v>88</v>
      </c>
      <c r="E12" s="393">
        <v>4</v>
      </c>
      <c r="F12" s="7"/>
      <c r="G12" s="7"/>
      <c r="H12" s="7">
        <v>20000</v>
      </c>
      <c r="I12" s="7"/>
      <c r="J12" s="7">
        <v>100</v>
      </c>
      <c r="K12" s="214">
        <f>[1]!SP1000P100F2300</f>
        <v>25200</v>
      </c>
      <c r="L12" s="207">
        <f t="shared" si="0"/>
        <v>20100</v>
      </c>
      <c r="M12" s="212">
        <f t="shared" si="1"/>
        <v>-0.20200000000000001</v>
      </c>
      <c r="N12" s="213">
        <v>4</v>
      </c>
    </row>
    <row r="13" spans="1:14" ht="12" customHeight="1">
      <c r="B13" t="s">
        <v>89</v>
      </c>
      <c r="E13" s="393">
        <v>5</v>
      </c>
      <c r="F13" s="7">
        <v>102973</v>
      </c>
      <c r="G13" s="7">
        <v>29478</v>
      </c>
      <c r="H13" s="7">
        <v>107672</v>
      </c>
      <c r="I13" s="7">
        <v>53410</v>
      </c>
      <c r="J13" s="7">
        <v>11025</v>
      </c>
      <c r="K13" s="214">
        <f>[1]!SP1000P100F2400</f>
        <v>524812</v>
      </c>
      <c r="L13" s="207">
        <f t="shared" si="0"/>
        <v>304558</v>
      </c>
      <c r="M13" s="212">
        <f t="shared" si="1"/>
        <v>-0.42</v>
      </c>
      <c r="N13" s="213">
        <v>5</v>
      </c>
    </row>
    <row r="14" spans="1:14" ht="12" customHeight="1">
      <c r="B14" t="s">
        <v>90</v>
      </c>
      <c r="E14" s="393">
        <v>6</v>
      </c>
      <c r="F14" s="7">
        <v>58800</v>
      </c>
      <c r="G14" s="7">
        <v>11498</v>
      </c>
      <c r="H14" s="7">
        <v>544726</v>
      </c>
      <c r="I14" s="7">
        <v>15810</v>
      </c>
      <c r="J14" s="7">
        <v>23588</v>
      </c>
      <c r="K14" s="214">
        <f>[1]!SP1000P100F2500</f>
        <v>701568</v>
      </c>
      <c r="L14" s="207">
        <f>SUM(F14:J14)</f>
        <v>654422</v>
      </c>
      <c r="M14" s="212">
        <f t="shared" si="1"/>
        <v>-6.7000000000000004E-2</v>
      </c>
      <c r="N14" s="213">
        <v>6</v>
      </c>
    </row>
    <row r="15" spans="1:14" ht="12" customHeight="1">
      <c r="B15" t="s">
        <v>91</v>
      </c>
      <c r="E15" s="393">
        <v>7</v>
      </c>
      <c r="F15" s="7">
        <v>47768</v>
      </c>
      <c r="G15" s="7">
        <v>3903</v>
      </c>
      <c r="H15" s="7">
        <v>1032578</v>
      </c>
      <c r="I15" s="7">
        <v>64625</v>
      </c>
      <c r="J15" s="7">
        <v>80000</v>
      </c>
      <c r="K15" s="214">
        <f>[1]!SP1000P100F2600</f>
        <v>1338684</v>
      </c>
      <c r="L15" s="207">
        <f t="shared" si="0"/>
        <v>1228874</v>
      </c>
      <c r="M15" s="212">
        <f t="shared" si="1"/>
        <v>-8.2000000000000003E-2</v>
      </c>
      <c r="N15" s="213">
        <v>7</v>
      </c>
    </row>
    <row r="16" spans="1:14" ht="12" customHeight="1">
      <c r="B16" t="s">
        <v>92</v>
      </c>
      <c r="E16" s="393">
        <v>8</v>
      </c>
      <c r="F16" s="7"/>
      <c r="G16" s="7"/>
      <c r="H16" s="7"/>
      <c r="I16" s="7"/>
      <c r="J16" s="7"/>
      <c r="K16" s="214">
        <f>[1]!SP1000P100F2900</f>
        <v>0</v>
      </c>
      <c r="L16" s="207">
        <f t="shared" si="0"/>
        <v>0</v>
      </c>
      <c r="M16" s="212" t="str">
        <f t="shared" si="1"/>
        <v xml:space="preserve"> </v>
      </c>
      <c r="N16" s="213">
        <v>8</v>
      </c>
    </row>
    <row r="17" spans="1:14" ht="12" customHeight="1">
      <c r="B17" t="s">
        <v>93</v>
      </c>
      <c r="E17" s="393">
        <v>9</v>
      </c>
      <c r="F17" s="7">
        <v>46200</v>
      </c>
      <c r="G17" s="7">
        <v>3862</v>
      </c>
      <c r="H17" s="7">
        <v>327420</v>
      </c>
      <c r="I17" s="7"/>
      <c r="J17" s="7">
        <v>1625</v>
      </c>
      <c r="K17" s="214">
        <f>[1]!SP1000P100F3000</f>
        <v>337675</v>
      </c>
      <c r="L17" s="207">
        <f t="shared" si="0"/>
        <v>379107</v>
      </c>
      <c r="M17" s="212">
        <f t="shared" si="1"/>
        <v>0.123</v>
      </c>
      <c r="N17" s="213">
        <v>9</v>
      </c>
    </row>
    <row r="18" spans="1:14" ht="12" customHeight="1">
      <c r="B18" t="s">
        <v>94</v>
      </c>
      <c r="E18" s="393">
        <v>10</v>
      </c>
      <c r="F18" s="7"/>
      <c r="G18" s="7"/>
      <c r="H18" s="7"/>
      <c r="I18" s="7"/>
      <c r="J18" s="7"/>
      <c r="K18" s="214">
        <f>[1]!SP1000P100F4000</f>
        <v>0</v>
      </c>
      <c r="L18" s="207">
        <f t="shared" si="0"/>
        <v>0</v>
      </c>
      <c r="M18" s="212" t="str">
        <f t="shared" si="1"/>
        <v xml:space="preserve"> </v>
      </c>
      <c r="N18" s="213">
        <v>10</v>
      </c>
    </row>
    <row r="19" spans="1:14" ht="12" customHeight="1">
      <c r="B19" t="s">
        <v>95</v>
      </c>
      <c r="E19" s="215">
        <v>11</v>
      </c>
      <c r="F19" s="16"/>
      <c r="G19" s="7"/>
      <c r="H19" s="7"/>
      <c r="I19" s="7"/>
      <c r="J19" s="7"/>
      <c r="K19" s="214">
        <f>[1]!SP1000P100F5000</f>
        <v>0</v>
      </c>
      <c r="L19" s="207">
        <f t="shared" si="0"/>
        <v>0</v>
      </c>
      <c r="M19" s="212" t="str">
        <f t="shared" si="1"/>
        <v xml:space="preserve"> </v>
      </c>
      <c r="N19" s="213">
        <v>11</v>
      </c>
    </row>
    <row r="20" spans="1:14" ht="12" customHeight="1">
      <c r="A20" t="s">
        <v>96</v>
      </c>
      <c r="E20" s="215">
        <v>12</v>
      </c>
      <c r="F20" s="16"/>
      <c r="G20" s="7"/>
      <c r="H20" s="7">
        <v>0</v>
      </c>
      <c r="I20" s="7"/>
      <c r="J20" s="7"/>
      <c r="K20" s="207">
        <f>[1]!SP1000P610</f>
        <v>0</v>
      </c>
      <c r="L20" s="207">
        <f t="shared" si="0"/>
        <v>0</v>
      </c>
      <c r="M20" s="212" t="str">
        <f t="shared" si="1"/>
        <v xml:space="preserve"> </v>
      </c>
      <c r="N20" s="213">
        <v>12</v>
      </c>
    </row>
    <row r="21" spans="1:14" ht="12" customHeight="1">
      <c r="A21" t="s">
        <v>97</v>
      </c>
      <c r="E21" s="215">
        <v>13</v>
      </c>
      <c r="F21" s="16"/>
      <c r="G21" s="7"/>
      <c r="H21" s="7">
        <v>425</v>
      </c>
      <c r="I21" s="7">
        <v>2750</v>
      </c>
      <c r="J21" s="7">
        <v>433</v>
      </c>
      <c r="K21" s="207">
        <f>[1]!SP1000P620</f>
        <v>3450</v>
      </c>
      <c r="L21" s="207">
        <f>SUM(F21:J21)</f>
        <v>3608</v>
      </c>
      <c r="M21" s="212">
        <f t="shared" si="1"/>
        <v>4.5999999999999999E-2</v>
      </c>
      <c r="N21" s="213">
        <v>13</v>
      </c>
    </row>
    <row r="22" spans="1:14" ht="12" customHeight="1">
      <c r="A22" t="s">
        <v>98</v>
      </c>
      <c r="E22" s="215">
        <v>14</v>
      </c>
      <c r="F22" s="16">
        <v>41400</v>
      </c>
      <c r="G22" s="7">
        <v>6521</v>
      </c>
      <c r="H22" s="7"/>
      <c r="I22" s="7">
        <f>2850+1040</f>
        <v>3890</v>
      </c>
      <c r="J22" s="7"/>
      <c r="K22" s="207">
        <f>[1]!SP1000P630700800900</f>
        <v>38769</v>
      </c>
      <c r="L22" s="207">
        <f t="shared" si="0"/>
        <v>51811</v>
      </c>
      <c r="M22" s="212">
        <f t="shared" si="1"/>
        <v>0.33600000000000002</v>
      </c>
      <c r="N22" s="213">
        <v>14</v>
      </c>
    </row>
    <row r="23" spans="1:14" ht="12" customHeight="1">
      <c r="A23" s="405"/>
      <c r="B23" s="405" t="s">
        <v>99</v>
      </c>
      <c r="C23" s="405"/>
      <c r="D23" s="405"/>
      <c r="E23" s="217">
        <v>15</v>
      </c>
      <c r="F23" s="207">
        <f>SUM(F7:F22)</f>
        <v>1260794</v>
      </c>
      <c r="G23" s="207">
        <f>SUM(G7:G22)</f>
        <v>194978</v>
      </c>
      <c r="H23" s="207">
        <f>SUM(H7:H22)</f>
        <v>2152255</v>
      </c>
      <c r="I23" s="207">
        <f>SUM(I7:I22)</f>
        <v>173835</v>
      </c>
      <c r="J23" s="207">
        <f>SUM(J7:J22)</f>
        <v>120271</v>
      </c>
      <c r="K23" s="218">
        <f>SUM(K8:K22)</f>
        <v>3984967</v>
      </c>
      <c r="L23" s="218">
        <f t="shared" si="0"/>
        <v>3902133</v>
      </c>
      <c r="M23" s="212">
        <f t="shared" si="1"/>
        <v>-2.1000000000000001E-2</v>
      </c>
      <c r="N23" s="213">
        <v>15</v>
      </c>
    </row>
    <row r="24" spans="1:14" ht="12" customHeight="1">
      <c r="A24" t="s">
        <v>100</v>
      </c>
      <c r="E24" s="393"/>
      <c r="F24" s="203"/>
      <c r="G24" s="203"/>
      <c r="H24" s="203"/>
      <c r="I24" s="203"/>
      <c r="J24" s="204"/>
      <c r="K24" s="206"/>
      <c r="L24" s="206"/>
      <c r="M24" s="206"/>
      <c r="N24" s="213"/>
    </row>
    <row r="25" spans="1:14" ht="12" customHeight="1">
      <c r="B25" t="s">
        <v>84</v>
      </c>
      <c r="E25" s="393">
        <v>16</v>
      </c>
      <c r="F25" s="7">
        <v>31500</v>
      </c>
      <c r="G25" s="7">
        <v>2574</v>
      </c>
      <c r="H25" s="7">
        <v>198414</v>
      </c>
      <c r="I25" s="7">
        <v>11730</v>
      </c>
      <c r="J25" s="22"/>
      <c r="K25" s="207">
        <f>[1]!SP1000P200F1000</f>
        <v>240406</v>
      </c>
      <c r="L25" s="207">
        <f>SUM(F25:J25)</f>
        <v>244218</v>
      </c>
      <c r="M25" s="219">
        <f>IF(K25=0," ",(L25-K25)/K25)</f>
        <v>1.6E-2</v>
      </c>
      <c r="N25" s="213">
        <v>16</v>
      </c>
    </row>
    <row r="26" spans="1:14" ht="12" customHeight="1">
      <c r="B26" t="s">
        <v>85</v>
      </c>
      <c r="E26" s="393"/>
      <c r="F26" s="203"/>
      <c r="G26" s="203"/>
      <c r="H26" s="203"/>
      <c r="I26" s="203"/>
      <c r="J26" s="204"/>
      <c r="K26" s="206"/>
      <c r="L26" s="206"/>
      <c r="M26" s="206"/>
      <c r="N26" s="213"/>
    </row>
    <row r="27" spans="1:14" ht="12" customHeight="1">
      <c r="B27" t="s">
        <v>86</v>
      </c>
      <c r="E27" s="215">
        <v>17</v>
      </c>
      <c r="F27" s="7">
        <v>24000</v>
      </c>
      <c r="G27" s="7">
        <v>3178</v>
      </c>
      <c r="H27" s="7"/>
      <c r="I27" s="7">
        <v>4400</v>
      </c>
      <c r="J27" s="22"/>
      <c r="K27" s="207">
        <f>[1]!SP1000P200F2100</f>
        <v>4835</v>
      </c>
      <c r="L27" s="207">
        <f>SUM(F27:J27)</f>
        <v>31578</v>
      </c>
      <c r="M27" s="219">
        <f>IF(K27=0," ",(L27-K27)/K27)</f>
        <v>5.5309999999999997</v>
      </c>
      <c r="N27" s="213">
        <v>17</v>
      </c>
    </row>
    <row r="28" spans="1:14" ht="12" customHeight="1">
      <c r="B28" t="s">
        <v>87</v>
      </c>
      <c r="E28" s="215">
        <v>18</v>
      </c>
      <c r="F28" s="7"/>
      <c r="G28" s="7"/>
      <c r="H28" s="7">
        <v>27000</v>
      </c>
      <c r="I28" s="7"/>
      <c r="J28" s="7"/>
      <c r="K28" s="207">
        <f>[1]!SP1000P200F2200</f>
        <v>36000</v>
      </c>
      <c r="L28" s="207">
        <f t="shared" ref="L28:L42" si="2">SUM(F28:J28)</f>
        <v>27000</v>
      </c>
      <c r="M28" s="220">
        <f t="shared" ref="M28:M48" si="3">IF(K28=0," ",(L28-K28)/K28)</f>
        <v>-0.25</v>
      </c>
      <c r="N28" s="213">
        <v>18</v>
      </c>
    </row>
    <row r="29" spans="1:14" ht="12" customHeight="1">
      <c r="B29" t="s">
        <v>88</v>
      </c>
      <c r="E29" s="215">
        <v>19</v>
      </c>
      <c r="F29" s="7"/>
      <c r="G29" s="7"/>
      <c r="H29" s="7"/>
      <c r="I29" s="7"/>
      <c r="J29" s="7"/>
      <c r="K29" s="214">
        <f>[1]!SP1000P200F2300</f>
        <v>0</v>
      </c>
      <c r="L29" s="207">
        <f t="shared" si="2"/>
        <v>0</v>
      </c>
      <c r="M29" s="212" t="str">
        <f t="shared" si="3"/>
        <v xml:space="preserve"> </v>
      </c>
      <c r="N29" s="213">
        <v>19</v>
      </c>
    </row>
    <row r="30" spans="1:14" ht="12" customHeight="1">
      <c r="B30" t="s">
        <v>89</v>
      </c>
      <c r="E30" s="215">
        <v>20</v>
      </c>
      <c r="F30" s="7">
        <v>70110</v>
      </c>
      <c r="G30" s="7">
        <v>10531</v>
      </c>
      <c r="H30" s="7"/>
      <c r="I30" s="7"/>
      <c r="J30" s="7"/>
      <c r="K30" s="214">
        <f>[1]!SP1000P200F2400</f>
        <v>102194</v>
      </c>
      <c r="L30" s="207">
        <f t="shared" si="2"/>
        <v>80641</v>
      </c>
      <c r="M30" s="212">
        <f t="shared" si="3"/>
        <v>-0.21099999999999999</v>
      </c>
      <c r="N30" s="213">
        <v>20</v>
      </c>
    </row>
    <row r="31" spans="1:14" ht="12" customHeight="1">
      <c r="B31" t="s">
        <v>90</v>
      </c>
      <c r="E31" s="215">
        <v>21</v>
      </c>
      <c r="F31" s="7"/>
      <c r="G31" s="7"/>
      <c r="H31" s="7"/>
      <c r="I31" s="7"/>
      <c r="J31" s="7"/>
      <c r="K31" s="214">
        <f>[1]!SP1000P200F2500</f>
        <v>0</v>
      </c>
      <c r="L31" s="207">
        <f>SUM(F31:J31)</f>
        <v>0</v>
      </c>
      <c r="M31" s="212" t="str">
        <f t="shared" si="3"/>
        <v xml:space="preserve"> </v>
      </c>
      <c r="N31" s="213">
        <v>21</v>
      </c>
    </row>
    <row r="32" spans="1:14" ht="12" customHeight="1">
      <c r="B32" t="s">
        <v>91</v>
      </c>
      <c r="E32" s="215">
        <v>22</v>
      </c>
      <c r="F32" s="7"/>
      <c r="G32" s="7"/>
      <c r="H32" s="7"/>
      <c r="I32" s="7"/>
      <c r="J32" s="7"/>
      <c r="K32" s="214">
        <f>[1]!SP1000P200F2600</f>
        <v>0</v>
      </c>
      <c r="L32" s="207">
        <f t="shared" si="2"/>
        <v>0</v>
      </c>
      <c r="M32" s="212" t="str">
        <f t="shared" si="3"/>
        <v xml:space="preserve"> </v>
      </c>
      <c r="N32" s="213">
        <v>22</v>
      </c>
    </row>
    <row r="33" spans="1:18" ht="12" customHeight="1">
      <c r="B33" t="s">
        <v>92</v>
      </c>
      <c r="E33" s="215">
        <v>23</v>
      </c>
      <c r="F33" s="7"/>
      <c r="G33" s="7"/>
      <c r="H33" s="7"/>
      <c r="I33" s="7"/>
      <c r="J33" s="7"/>
      <c r="K33" s="214">
        <f>[1]!SP1000P200F2900</f>
        <v>0</v>
      </c>
      <c r="L33" s="207">
        <f t="shared" si="2"/>
        <v>0</v>
      </c>
      <c r="M33" s="212" t="str">
        <f t="shared" si="3"/>
        <v xml:space="preserve"> </v>
      </c>
      <c r="N33" s="213">
        <v>23</v>
      </c>
    </row>
    <row r="34" spans="1:18" ht="12" customHeight="1">
      <c r="B34" t="s">
        <v>93</v>
      </c>
      <c r="E34" s="215">
        <v>24</v>
      </c>
      <c r="F34" s="7"/>
      <c r="G34" s="7"/>
      <c r="H34" s="7"/>
      <c r="I34" s="7"/>
      <c r="J34" s="7"/>
      <c r="K34" s="214">
        <f>[1]!SP1000P200F3000</f>
        <v>0</v>
      </c>
      <c r="L34" s="207">
        <f t="shared" si="2"/>
        <v>0</v>
      </c>
      <c r="M34" s="212" t="str">
        <f t="shared" si="3"/>
        <v xml:space="preserve"> </v>
      </c>
      <c r="N34" s="213">
        <v>24</v>
      </c>
      <c r="R34" s="194"/>
    </row>
    <row r="35" spans="1:18" ht="12" customHeight="1">
      <c r="B35" t="s">
        <v>94</v>
      </c>
      <c r="E35" s="215">
        <v>25</v>
      </c>
      <c r="F35" s="7"/>
      <c r="G35" s="7"/>
      <c r="H35" s="7"/>
      <c r="I35" s="7"/>
      <c r="J35" s="7"/>
      <c r="K35" s="214">
        <f>[1]!SP1000P200F4000</f>
        <v>0</v>
      </c>
      <c r="L35" s="207">
        <f t="shared" si="2"/>
        <v>0</v>
      </c>
      <c r="M35" s="212" t="str">
        <f t="shared" si="3"/>
        <v xml:space="preserve"> </v>
      </c>
      <c r="N35" s="213">
        <v>25</v>
      </c>
    </row>
    <row r="36" spans="1:18" ht="12" customHeight="1">
      <c r="B36" t="s">
        <v>95</v>
      </c>
      <c r="E36" s="393">
        <v>26</v>
      </c>
      <c r="F36" s="7"/>
      <c r="G36" s="7"/>
      <c r="H36" s="7"/>
      <c r="I36" s="7"/>
      <c r="J36" s="7"/>
      <c r="K36" s="214">
        <f>[1]!SP1000P200F5000</f>
        <v>0</v>
      </c>
      <c r="L36" s="207">
        <f t="shared" si="2"/>
        <v>0</v>
      </c>
      <c r="M36" s="212" t="str">
        <f t="shared" si="3"/>
        <v xml:space="preserve"> </v>
      </c>
      <c r="N36" s="213">
        <v>26</v>
      </c>
    </row>
    <row r="37" spans="1:18" ht="12" customHeight="1">
      <c r="A37" s="405"/>
      <c r="B37" s="405" t="s">
        <v>101</v>
      </c>
      <c r="C37" s="405"/>
      <c r="D37" s="405"/>
      <c r="E37" s="217">
        <v>27</v>
      </c>
      <c r="F37" s="214">
        <f>SUM(F24:F36)</f>
        <v>125610</v>
      </c>
      <c r="G37" s="214">
        <f>SUM(G24:G36)</f>
        <v>16283</v>
      </c>
      <c r="H37" s="214">
        <f>SUM(H24:H36)</f>
        <v>225414</v>
      </c>
      <c r="I37" s="214">
        <f>SUM(I24:I36)</f>
        <v>16130</v>
      </c>
      <c r="J37" s="214">
        <f>SUM(J24:J36)</f>
        <v>0</v>
      </c>
      <c r="K37" s="214">
        <f>SUM(K25:K36)</f>
        <v>383435</v>
      </c>
      <c r="L37" s="214">
        <f t="shared" si="2"/>
        <v>383437</v>
      </c>
      <c r="M37" s="220">
        <f t="shared" si="3"/>
        <v>0</v>
      </c>
      <c r="N37" s="213">
        <v>27</v>
      </c>
    </row>
    <row r="38" spans="1:18" ht="0.75" customHeight="1">
      <c r="A38" t="s">
        <v>102</v>
      </c>
      <c r="E38" s="393">
        <v>28</v>
      </c>
      <c r="F38" s="221"/>
      <c r="G38" s="221"/>
      <c r="H38" s="221"/>
      <c r="I38" s="221"/>
      <c r="J38" s="221"/>
      <c r="K38" s="221"/>
      <c r="L38" s="221"/>
      <c r="M38" s="222"/>
      <c r="N38" s="211">
        <v>28</v>
      </c>
    </row>
    <row r="39" spans="1:18" ht="12" customHeight="1">
      <c r="A39" s="405" t="s">
        <v>103</v>
      </c>
      <c r="B39" s="405"/>
      <c r="C39" s="405"/>
      <c r="D39" s="405"/>
      <c r="E39" s="217">
        <v>28</v>
      </c>
      <c r="F39" s="7"/>
      <c r="G39" s="7"/>
      <c r="H39" s="7">
        <v>6400</v>
      </c>
      <c r="I39" s="7">
        <v>19200</v>
      </c>
      <c r="J39" s="7"/>
      <c r="K39" s="207">
        <f>[1]!SP1000P400</f>
        <v>22256</v>
      </c>
      <c r="L39" s="207">
        <f t="shared" si="2"/>
        <v>25600</v>
      </c>
      <c r="M39" s="212">
        <f t="shared" si="3"/>
        <v>0.15</v>
      </c>
      <c r="N39" s="213">
        <v>28</v>
      </c>
    </row>
    <row r="40" spans="1:18" ht="12" customHeight="1">
      <c r="A40" s="405" t="s">
        <v>104</v>
      </c>
      <c r="B40" s="405"/>
      <c r="C40" s="405"/>
      <c r="D40" s="405"/>
      <c r="E40" s="223">
        <v>29</v>
      </c>
      <c r="F40" s="7"/>
      <c r="G40" s="7"/>
      <c r="H40" s="7"/>
      <c r="I40" s="7"/>
      <c r="J40" s="7"/>
      <c r="K40" s="214">
        <f>[1]!SP1000P530</f>
        <v>0</v>
      </c>
      <c r="L40" s="207">
        <f>SUM(F40:J40)</f>
        <v>0</v>
      </c>
      <c r="M40" s="212" t="str">
        <f t="shared" si="3"/>
        <v xml:space="preserve"> </v>
      </c>
      <c r="N40" s="213">
        <v>29</v>
      </c>
    </row>
    <row r="41" spans="1:18" ht="12" customHeight="1">
      <c r="A41" s="405" t="s">
        <v>105</v>
      </c>
      <c r="B41" s="405"/>
      <c r="C41" s="405"/>
      <c r="D41" s="405"/>
      <c r="E41" s="223">
        <v>30</v>
      </c>
      <c r="F41" s="7"/>
      <c r="G41" s="7"/>
      <c r="H41" s="7"/>
      <c r="I41" s="7"/>
      <c r="J41" s="7"/>
      <c r="K41" s="214">
        <f>[1]!SP1000P540</f>
        <v>0</v>
      </c>
      <c r="L41" s="207">
        <f t="shared" si="2"/>
        <v>0</v>
      </c>
      <c r="M41" s="212" t="str">
        <f t="shared" si="3"/>
        <v xml:space="preserve"> </v>
      </c>
      <c r="N41" s="213">
        <v>30</v>
      </c>
    </row>
    <row r="42" spans="1:18" ht="12" customHeight="1">
      <c r="A42" s="224" t="s">
        <v>106</v>
      </c>
      <c r="B42" s="225"/>
      <c r="C42" s="225"/>
      <c r="D42" s="225"/>
      <c r="E42" s="223">
        <v>31</v>
      </c>
      <c r="F42" s="7">
        <v>25000</v>
      </c>
      <c r="G42" s="7">
        <v>4455</v>
      </c>
      <c r="H42" s="7"/>
      <c r="I42" s="7"/>
      <c r="J42" s="7"/>
      <c r="K42" s="214">
        <f>[1]!SP1000P550</f>
        <v>44673</v>
      </c>
      <c r="L42" s="207">
        <f t="shared" si="2"/>
        <v>29455</v>
      </c>
      <c r="M42" s="212">
        <f t="shared" si="3"/>
        <v>-0.34100000000000003</v>
      </c>
      <c r="N42" s="213">
        <v>31</v>
      </c>
    </row>
    <row r="43" spans="1:18" ht="12" customHeight="1">
      <c r="A43" s="405"/>
      <c r="B43" s="405" t="s">
        <v>107</v>
      </c>
      <c r="C43" s="405"/>
      <c r="D43" s="405"/>
      <c r="E43" s="223">
        <v>32</v>
      </c>
      <c r="F43" s="207">
        <f t="shared" ref="F43:K43" si="4">SUM(F37:F42)+F23</f>
        <v>1411404</v>
      </c>
      <c r="G43" s="207">
        <f t="shared" si="4"/>
        <v>215716</v>
      </c>
      <c r="H43" s="207">
        <f t="shared" si="4"/>
        <v>2384069</v>
      </c>
      <c r="I43" s="207">
        <f t="shared" si="4"/>
        <v>209165</v>
      </c>
      <c r="J43" s="207">
        <f t="shared" si="4"/>
        <v>120271</v>
      </c>
      <c r="K43" s="207">
        <f t="shared" si="4"/>
        <v>4435331</v>
      </c>
      <c r="L43" s="207">
        <f>SUM(F43:J43)</f>
        <v>4340625</v>
      </c>
      <c r="M43" s="212">
        <f t="shared" si="3"/>
        <v>-2.1000000000000001E-2</v>
      </c>
      <c r="N43" s="213">
        <v>32</v>
      </c>
    </row>
    <row r="44" spans="1:18" ht="12" customHeight="1">
      <c r="A44" s="405" t="s">
        <v>108</v>
      </c>
      <c r="B44" s="405"/>
      <c r="C44" s="405"/>
      <c r="D44" s="405"/>
      <c r="E44" s="223">
        <v>33</v>
      </c>
      <c r="F44" s="207">
        <f>TotalCSP6100</f>
        <v>398284</v>
      </c>
      <c r="G44" s="207">
        <f>TotalCSP6200</f>
        <v>39828</v>
      </c>
      <c r="H44" s="207">
        <f>TotalCSP630064006500</f>
        <v>0</v>
      </c>
      <c r="I44" s="207">
        <f>TotalCSP6600</f>
        <v>0</v>
      </c>
      <c r="J44" s="226"/>
      <c r="K44" s="207">
        <f>[1]!SP1000ClassSiteProj</f>
        <v>437440</v>
      </c>
      <c r="L44" s="207">
        <f>SUM(F44:J44)</f>
        <v>438112</v>
      </c>
      <c r="M44" s="212">
        <f t="shared" si="3"/>
        <v>2E-3</v>
      </c>
      <c r="N44" s="213">
        <v>33</v>
      </c>
    </row>
    <row r="45" spans="1:18" ht="12" customHeight="1">
      <c r="A45" s="405" t="s">
        <v>109</v>
      </c>
      <c r="B45" s="405"/>
      <c r="C45" s="405"/>
      <c r="D45" s="405"/>
      <c r="E45" s="223">
        <v>34</v>
      </c>
      <c r="F45" s="226"/>
      <c r="G45" s="226"/>
      <c r="H45" s="226"/>
      <c r="I45" s="226"/>
      <c r="J45" s="226"/>
      <c r="K45" s="207">
        <f>[1]!SP1000InstrImpProj</f>
        <v>30858</v>
      </c>
      <c r="L45" s="207">
        <f>TotalInstructionalImprovement</f>
        <v>31047</v>
      </c>
      <c r="M45" s="212">
        <f t="shared" si="3"/>
        <v>6.0000000000000001E-3</v>
      </c>
      <c r="N45" s="213">
        <v>34</v>
      </c>
    </row>
    <row r="46" spans="1:18" ht="12" customHeight="1">
      <c r="A46" s="405" t="s">
        <v>110</v>
      </c>
      <c r="B46" s="405"/>
      <c r="C46" s="405"/>
      <c r="D46" s="405"/>
      <c r="E46" s="223">
        <v>35</v>
      </c>
      <c r="F46" s="207">
        <f>TotalSEIP6100</f>
        <v>0</v>
      </c>
      <c r="G46" s="207">
        <f>TotalSEIP6200</f>
        <v>0</v>
      </c>
      <c r="H46" s="207">
        <f>TotalSEIP630064006500</f>
        <v>0</v>
      </c>
      <c r="I46" s="207">
        <f>TotalSEIP6600</f>
        <v>0</v>
      </c>
      <c r="J46" s="207">
        <f>TotalSEIP6800</f>
        <v>0</v>
      </c>
      <c r="K46" s="207">
        <f>[1]!SP1000StruEngImmProj</f>
        <v>0</v>
      </c>
      <c r="L46" s="207">
        <f>TotalSEIP</f>
        <v>0</v>
      </c>
      <c r="M46" s="212" t="str">
        <f t="shared" si="3"/>
        <v xml:space="preserve"> </v>
      </c>
      <c r="N46" s="213">
        <v>35</v>
      </c>
    </row>
    <row r="47" spans="1:18" ht="12" customHeight="1">
      <c r="A47" s="405" t="s">
        <v>111</v>
      </c>
      <c r="B47" s="405"/>
      <c r="C47" s="405"/>
      <c r="D47" s="405"/>
      <c r="E47" s="223">
        <v>36</v>
      </c>
      <c r="F47" s="207">
        <f>TotalCIP6100</f>
        <v>0</v>
      </c>
      <c r="G47" s="207">
        <f>TotalCIP6200</f>
        <v>0</v>
      </c>
      <c r="H47" s="207">
        <f>TotalCIP630064006500</f>
        <v>0</v>
      </c>
      <c r="I47" s="207">
        <f>TotalCIP6600</f>
        <v>0</v>
      </c>
      <c r="J47" s="207">
        <f>TotalCIP6800</f>
        <v>0</v>
      </c>
      <c r="K47" s="214">
        <f>[1]!SP1000CompInstrProj</f>
        <v>0</v>
      </c>
      <c r="L47" s="207">
        <f>TotalCIP</f>
        <v>0</v>
      </c>
      <c r="M47" s="212" t="str">
        <f t="shared" si="3"/>
        <v xml:space="preserve"> </v>
      </c>
      <c r="N47" s="213">
        <v>36</v>
      </c>
    </row>
    <row r="48" spans="1:18" ht="12" customHeight="1">
      <c r="A48" s="224" t="s">
        <v>112</v>
      </c>
      <c r="B48" s="225"/>
      <c r="C48" s="225"/>
      <c r="D48" s="225"/>
      <c r="E48" s="223">
        <v>37</v>
      </c>
      <c r="F48" s="226"/>
      <c r="G48" s="226"/>
      <c r="H48" s="226"/>
      <c r="I48" s="226"/>
      <c r="J48" s="226"/>
      <c r="K48" s="214">
        <f>[1]!SP1000FedStProj</f>
        <v>449390</v>
      </c>
      <c r="L48" s="207">
        <f>FederalandStateProjectsTotal</f>
        <v>391877</v>
      </c>
      <c r="M48" s="212">
        <f t="shared" si="3"/>
        <v>-0.128</v>
      </c>
      <c r="N48" s="213">
        <v>37</v>
      </c>
    </row>
    <row r="49" spans="1:14" ht="12" customHeight="1">
      <c r="A49" s="227"/>
      <c r="B49" s="405" t="s">
        <v>113</v>
      </c>
      <c r="C49" s="405"/>
      <c r="D49" s="405"/>
      <c r="E49" s="223">
        <v>38</v>
      </c>
      <c r="F49" s="228">
        <f>SUM(F43+F44+F46+F47)</f>
        <v>1809688</v>
      </c>
      <c r="G49" s="228">
        <f>SUM(G43+G44+G46+G47)</f>
        <v>255544</v>
      </c>
      <c r="H49" s="228">
        <f>SUM(H43+H44+H46+H47)</f>
        <v>2384069</v>
      </c>
      <c r="I49" s="228">
        <f>SUM(I43+I44+I46+I47)</f>
        <v>209165</v>
      </c>
      <c r="J49" s="228">
        <f>SUM(J43+J46+J47)</f>
        <v>120271</v>
      </c>
      <c r="K49" s="229">
        <f>SUM(K43:K48)</f>
        <v>5353019</v>
      </c>
      <c r="L49" s="229">
        <f>SUM(L43:L48)</f>
        <v>5201661</v>
      </c>
      <c r="M49" s="212">
        <f>IF(K49=0," ",(L49-K49)/K49)</f>
        <v>-2.8000000000000001E-2</v>
      </c>
      <c r="N49" s="213">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100-000000000000}"/>
    <hyperlink ref="G5" r:id="rId2" display="Benefits" xr:uid="{00000000-0004-0000-0100-000001000000}"/>
    <hyperlink ref="A42:D42" location="Pg1Program550" display="550 K-3 Reading" xr:uid="{00000000-0004-0000-0100-000002000000}"/>
    <hyperlink ref="G4:G5" location="Pg1EmployeeBenefits" display="Employee" xr:uid="{00000000-0004-0000-0100-000003000000}"/>
    <hyperlink ref="A48:D48" location="Pg1Line37" display="Federal and State Projects (from page 2, line 30)" xr:uid="{00000000-0004-0000-0100-000004000000}"/>
  </hyperlinks>
  <printOptions horizontalCentered="1" verticalCentered="1"/>
  <pageMargins left="0.75" right="0.5" top="0.25" bottom="0.25" header="0" footer="0"/>
  <pageSetup scale="72" orientation="landscape" r:id="rId3"/>
  <headerFooter>
    <oddFooter>&amp;L&amp;"Arial,Bold"Rev. 5/25 Arizona Department of Education and Auditor General&amp;R&amp;"Arial,Bold"Page  1 of 4</oddFooter>
  </headerFooter>
  <ignoredErrors>
    <ignoredError sqref="L41 F23:J23 L28:L36 L11:L20 L39 L22"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zoomScaleNormal="100" workbookViewId="0">
      <selection activeCell="D21" sqref="D21"/>
    </sheetView>
  </sheetViews>
  <sheetFormatPr defaultColWidth="9.453125" defaultRowHeight="12.75" customHeight="1"/>
  <cols>
    <col min="1" max="1" width="3.54296875" customWidth="1"/>
    <col min="2" max="2" width="14.54296875" customWidth="1"/>
    <col min="3" max="3" width="35" customWidth="1"/>
    <col min="4" max="5" width="12.453125" customWidth="1"/>
    <col min="6" max="6" width="3.54296875" customWidth="1"/>
    <col min="7" max="7" width="5.453125" customWidth="1"/>
    <col min="8" max="8" width="27.453125" customWidth="1"/>
    <col min="9" max="9" width="6.54296875" customWidth="1"/>
    <col min="10" max="10" width="6.453125" customWidth="1"/>
    <col min="11" max="11" width="5.453125" customWidth="1"/>
    <col min="12" max="12" width="7" customWidth="1"/>
    <col min="13" max="14" width="12.453125" customWidth="1"/>
    <col min="15" max="15" width="3.54296875" customWidth="1"/>
    <col min="16" max="16" width="7.54296875" customWidth="1"/>
  </cols>
  <sheetData>
    <row r="1" spans="1:19" ht="13.5" customHeight="1">
      <c r="A1" t="s">
        <v>0</v>
      </c>
      <c r="C1" s="493" t="str">
        <f>CharterName</f>
        <v>Tucson International Academy</v>
      </c>
      <c r="D1" s="493"/>
      <c r="E1" s="493"/>
      <c r="F1" s="493"/>
      <c r="H1" s="409" t="s">
        <v>1</v>
      </c>
      <c r="I1" s="494" t="str">
        <f>Cover!M1</f>
        <v>Pima</v>
      </c>
      <c r="J1" s="497"/>
      <c r="K1" s="497"/>
      <c r="M1" s="409" t="s">
        <v>2</v>
      </c>
      <c r="N1" s="399" t="str">
        <f>CTD</f>
        <v>108714000</v>
      </c>
    </row>
    <row r="2" spans="1:19" ht="7.5" customHeight="1">
      <c r="A2" s="230"/>
      <c r="B2" s="129"/>
      <c r="C2" s="129"/>
      <c r="D2" s="129"/>
      <c r="E2" s="129"/>
      <c r="H2" s="231"/>
      <c r="I2" s="232"/>
      <c r="J2" s="232"/>
      <c r="K2" s="232"/>
      <c r="L2" s="232"/>
      <c r="M2" s="232"/>
      <c r="N2" s="232"/>
    </row>
    <row r="3" spans="1:19" ht="12" customHeight="1">
      <c r="A3" s="500" t="s">
        <v>114</v>
      </c>
      <c r="B3" s="501"/>
      <c r="C3" s="501"/>
      <c r="D3" s="233"/>
      <c r="E3" s="233"/>
      <c r="H3" s="233" t="s">
        <v>115</v>
      </c>
      <c r="I3" s="234"/>
      <c r="J3" s="234"/>
      <c r="K3" s="234"/>
      <c r="L3" s="234"/>
      <c r="M3" s="234"/>
      <c r="N3" s="234"/>
      <c r="Q3" s="496"/>
      <c r="R3" s="496"/>
    </row>
    <row r="4" spans="1:19" ht="40.5" customHeight="1">
      <c r="A4" s="94" t="s">
        <v>116</v>
      </c>
      <c r="D4" s="446" t="s">
        <v>485</v>
      </c>
      <c r="E4" s="446" t="s">
        <v>486</v>
      </c>
      <c r="H4" s="129"/>
      <c r="I4" s="129"/>
      <c r="J4" s="129"/>
      <c r="K4" s="129"/>
      <c r="M4" s="446" t="s">
        <v>489</v>
      </c>
      <c r="N4" s="446" t="s">
        <v>490</v>
      </c>
      <c r="Q4" s="496"/>
      <c r="R4" s="496"/>
    </row>
    <row r="5" spans="1:19" ht="12" customHeight="1">
      <c r="A5" s="235">
        <v>1</v>
      </c>
      <c r="B5" s="118" t="s">
        <v>117</v>
      </c>
      <c r="C5" s="118"/>
      <c r="D5" s="236">
        <f>[1]!FP11001130TitleI</f>
        <v>283140</v>
      </c>
      <c r="E5" s="19">
        <v>221034</v>
      </c>
      <c r="F5" s="211">
        <v>1</v>
      </c>
      <c r="G5" s="237">
        <v>1</v>
      </c>
      <c r="H5" s="238" t="s">
        <v>118</v>
      </c>
      <c r="I5" s="238"/>
      <c r="J5" s="239"/>
      <c r="K5" s="118"/>
      <c r="M5" s="240">
        <f>'[1]Page 2'!$N$5</f>
        <v>383435</v>
      </c>
      <c r="N5" s="20">
        <f>'Page 1'!L37</f>
        <v>383437</v>
      </c>
      <c r="O5" s="211">
        <v>1</v>
      </c>
      <c r="R5" s="221"/>
      <c r="S5" s="221"/>
    </row>
    <row r="6" spans="1:19" ht="12" customHeight="1">
      <c r="A6" s="235">
        <v>2</v>
      </c>
      <c r="B6" s="118" t="s">
        <v>119</v>
      </c>
      <c r="C6" s="118"/>
      <c r="D6" s="236">
        <f>[1]!FP11401150TitleII</f>
        <v>19565</v>
      </c>
      <c r="E6" s="19">
        <v>15406</v>
      </c>
      <c r="F6" s="211">
        <v>2</v>
      </c>
      <c r="G6" s="237">
        <v>2</v>
      </c>
      <c r="H6" s="118" t="s">
        <v>120</v>
      </c>
      <c r="I6" s="118"/>
      <c r="J6" s="118"/>
      <c r="K6" s="118"/>
      <c r="M6" s="240">
        <f>[1]!P200GiftedEducation</f>
        <v>0</v>
      </c>
      <c r="N6" s="20"/>
      <c r="O6" s="211">
        <v>2</v>
      </c>
      <c r="R6" s="221"/>
      <c r="S6" s="221"/>
    </row>
    <row r="7" spans="1:19" ht="12" customHeight="1">
      <c r="A7" s="235">
        <v>3</v>
      </c>
      <c r="B7" s="118" t="s">
        <v>121</v>
      </c>
      <c r="C7" s="118"/>
      <c r="D7" s="236">
        <f>[1]!FP1160TitleIV</f>
        <v>25318</v>
      </c>
      <c r="E7" s="19">
        <v>17127</v>
      </c>
      <c r="F7" s="211">
        <v>3</v>
      </c>
      <c r="G7" s="237">
        <v>3</v>
      </c>
      <c r="H7" s="118" t="s">
        <v>122</v>
      </c>
      <c r="I7" s="118"/>
      <c r="J7" s="118"/>
      <c r="K7" s="118"/>
      <c r="M7" s="236">
        <f>[1]!P200ELLIncrementalCosts</f>
        <v>0</v>
      </c>
      <c r="N7" s="19"/>
      <c r="O7" s="211">
        <v>3</v>
      </c>
      <c r="R7" s="221"/>
      <c r="S7" s="221"/>
    </row>
    <row r="8" spans="1:19" ht="12" customHeight="1">
      <c r="A8" s="235">
        <v>4</v>
      </c>
      <c r="B8" s="118" t="s">
        <v>123</v>
      </c>
      <c r="C8" s="118"/>
      <c r="D8" s="236">
        <f>[1]!FP11701180TitleV</f>
        <v>0</v>
      </c>
      <c r="E8" s="19"/>
      <c r="F8" s="211">
        <v>4</v>
      </c>
      <c r="G8" s="237">
        <v>4</v>
      </c>
      <c r="H8" s="118" t="s">
        <v>124</v>
      </c>
      <c r="I8" s="118"/>
      <c r="J8" s="118"/>
      <c r="K8" s="118"/>
      <c r="M8" s="236">
        <f>[1]!P200ELLCompensatoryInstruction</f>
        <v>0</v>
      </c>
      <c r="N8" s="19"/>
      <c r="O8" s="211">
        <v>4</v>
      </c>
      <c r="R8" s="221"/>
      <c r="S8" s="221"/>
    </row>
    <row r="9" spans="1:19" ht="12" customHeight="1">
      <c r="A9" s="235">
        <v>5</v>
      </c>
      <c r="B9" s="118" t="s">
        <v>125</v>
      </c>
      <c r="C9" s="118"/>
      <c r="D9" s="236">
        <f>[1]!FP1190TitleIII</f>
        <v>0</v>
      </c>
      <c r="E9" s="19">
        <v>5505</v>
      </c>
      <c r="F9" s="211">
        <v>5</v>
      </c>
      <c r="G9" s="237">
        <v>5</v>
      </c>
      <c r="H9" s="118" t="s">
        <v>126</v>
      </c>
      <c r="I9" s="118"/>
      <c r="J9" s="118"/>
      <c r="K9" s="118"/>
      <c r="M9" s="236">
        <f>[1]!P200RemedialEducation</f>
        <v>0</v>
      </c>
      <c r="N9" s="19"/>
      <c r="O9" s="211">
        <v>5</v>
      </c>
      <c r="R9" s="221"/>
      <c r="S9" s="221"/>
    </row>
    <row r="10" spans="1:19" ht="12" customHeight="1">
      <c r="A10" s="235">
        <v>6</v>
      </c>
      <c r="B10" s="118" t="s">
        <v>127</v>
      </c>
      <c r="C10" s="118"/>
      <c r="D10" s="236">
        <f>[1]!FP1200TitleVII</f>
        <v>0</v>
      </c>
      <c r="E10" s="19"/>
      <c r="F10" s="211">
        <v>6</v>
      </c>
      <c r="G10" s="237">
        <v>6</v>
      </c>
      <c r="H10" s="118" t="s">
        <v>128</v>
      </c>
      <c r="I10" s="118"/>
      <c r="J10" s="118"/>
      <c r="K10" s="118"/>
      <c r="M10" s="236">
        <f>[1]!P200VocationalandTechnologicalEd</f>
        <v>0</v>
      </c>
      <c r="N10" s="19"/>
      <c r="O10" s="211">
        <v>6</v>
      </c>
      <c r="R10" s="221"/>
      <c r="S10" s="221"/>
    </row>
    <row r="11" spans="1:19" ht="12" customHeight="1">
      <c r="A11" s="235">
        <v>7</v>
      </c>
      <c r="B11" s="118" t="s">
        <v>129</v>
      </c>
      <c r="C11" s="118"/>
      <c r="D11" s="236">
        <f>[1]!FP1210TitleVI</f>
        <v>0</v>
      </c>
      <c r="E11" s="19"/>
      <c r="F11" s="211">
        <v>7</v>
      </c>
      <c r="G11" s="237">
        <v>7</v>
      </c>
      <c r="H11" s="118" t="s">
        <v>130</v>
      </c>
      <c r="I11" s="118"/>
      <c r="J11" s="118"/>
      <c r="K11" s="118"/>
      <c r="M11" s="236">
        <f>[1]!P200CareerEducation</f>
        <v>0</v>
      </c>
      <c r="N11" s="19"/>
      <c r="O11" s="211">
        <v>7</v>
      </c>
      <c r="R11" s="221"/>
      <c r="S11" s="221"/>
    </row>
    <row r="12" spans="1:19" ht="12" customHeight="1">
      <c r="A12" s="235">
        <v>8</v>
      </c>
      <c r="B12" s="118" t="s">
        <v>131</v>
      </c>
      <c r="C12" s="118"/>
      <c r="D12" s="236">
        <f>[1]!FP1220IDEA</f>
        <v>72250</v>
      </c>
      <c r="E12" s="19">
        <f>52870+705</f>
        <v>53575</v>
      </c>
      <c r="F12" s="211">
        <v>8</v>
      </c>
      <c r="G12" s="237">
        <v>8</v>
      </c>
      <c r="H12" t="s">
        <v>132</v>
      </c>
      <c r="K12" s="118"/>
      <c r="M12" s="240">
        <f>SUM(M5:M11)</f>
        <v>383435</v>
      </c>
      <c r="N12" s="240">
        <f>SUM(N5:N11)</f>
        <v>383437</v>
      </c>
      <c r="O12" s="211">
        <v>8</v>
      </c>
      <c r="P12" s="137" t="str">
        <f>IF(SUM(N5:N11)=SUM('Page 1'!L37),"","Invalid. The amount must equal the total budgeted amount reported on page 1, line 27.")</f>
        <v/>
      </c>
      <c r="R12" s="221"/>
      <c r="S12" s="221"/>
    </row>
    <row r="13" spans="1:19" ht="12" customHeight="1">
      <c r="A13" s="235">
        <v>9</v>
      </c>
      <c r="B13" s="118" t="s">
        <v>133</v>
      </c>
      <c r="C13" s="118"/>
      <c r="D13" s="236">
        <f>[1]!FP1230Johnson</f>
        <v>0</v>
      </c>
      <c r="E13" s="19"/>
      <c r="F13" s="211">
        <v>9</v>
      </c>
      <c r="N13" s="221"/>
      <c r="O13" s="211"/>
      <c r="R13" s="221"/>
      <c r="S13" s="221"/>
    </row>
    <row r="14" spans="1:19" ht="12.75" customHeight="1">
      <c r="A14" s="235">
        <v>10</v>
      </c>
      <c r="B14" s="118" t="s">
        <v>134</v>
      </c>
      <c r="C14" s="118"/>
      <c r="D14" s="236">
        <f>[1]!FP1240WIA</f>
        <v>0</v>
      </c>
      <c r="E14" s="19"/>
      <c r="F14" s="211">
        <v>10</v>
      </c>
      <c r="G14" s="237">
        <v>9</v>
      </c>
      <c r="H14" s="503" t="s">
        <v>135</v>
      </c>
      <c r="I14" s="503"/>
      <c r="J14" s="503"/>
      <c r="K14" s="503"/>
      <c r="L14" s="503"/>
      <c r="M14" s="240">
        <f t="array" ref="M14">[1]!IEPtransportation</f>
        <v>0</v>
      </c>
      <c r="N14" s="20">
        <v>0</v>
      </c>
      <c r="O14" s="211">
        <v>9</v>
      </c>
      <c r="R14" s="221"/>
      <c r="S14" s="221"/>
    </row>
    <row r="15" spans="1:19" ht="12.75" customHeight="1">
      <c r="A15" s="235">
        <v>11</v>
      </c>
      <c r="B15" s="118" t="s">
        <v>136</v>
      </c>
      <c r="C15" s="118"/>
      <c r="D15" s="236">
        <f>[1]!FP1250AEA</f>
        <v>0</v>
      </c>
      <c r="E15" s="19"/>
      <c r="F15" s="211">
        <v>11</v>
      </c>
      <c r="H15" s="503"/>
      <c r="I15" s="503"/>
      <c r="J15" s="503"/>
      <c r="K15" s="503"/>
      <c r="L15" s="503"/>
      <c r="N15" s="221"/>
      <c r="O15" s="211"/>
      <c r="R15" s="221"/>
      <c r="S15" s="221"/>
    </row>
    <row r="16" spans="1:19" ht="12" customHeight="1">
      <c r="A16" s="235">
        <v>12</v>
      </c>
      <c r="B16" s="118" t="s">
        <v>137</v>
      </c>
      <c r="C16" s="118"/>
      <c r="D16" s="236">
        <f>[1]!FP12601270VocEd</f>
        <v>0</v>
      </c>
      <c r="E16" s="19"/>
      <c r="F16" s="211">
        <v>12</v>
      </c>
      <c r="G16" s="237"/>
      <c r="H16" s="118"/>
      <c r="I16" s="118"/>
      <c r="J16" s="118"/>
      <c r="K16" s="118"/>
      <c r="M16" s="241"/>
      <c r="N16" s="241"/>
      <c r="O16" s="211"/>
      <c r="R16" s="221"/>
      <c r="S16" s="221"/>
    </row>
    <row r="17" spans="1:19" ht="12" customHeight="1">
      <c r="A17" s="235">
        <v>13</v>
      </c>
      <c r="B17" s="118" t="s">
        <v>138</v>
      </c>
      <c r="C17" s="118"/>
      <c r="D17" s="236">
        <f>[1]!FP1280TitleX</f>
        <v>0</v>
      </c>
      <c r="E17" s="19"/>
      <c r="F17" s="211">
        <v>13</v>
      </c>
      <c r="G17" s="237"/>
      <c r="H17" s="233" t="s">
        <v>139</v>
      </c>
      <c r="I17" s="234"/>
      <c r="J17" s="234"/>
      <c r="K17" s="234"/>
      <c r="L17" s="234"/>
      <c r="M17" s="241"/>
      <c r="N17" s="241"/>
      <c r="O17" s="211"/>
      <c r="R17" s="221"/>
      <c r="S17" s="221"/>
    </row>
    <row r="18" spans="1:19" ht="12" customHeight="1">
      <c r="A18" s="235">
        <v>14</v>
      </c>
      <c r="B18" s="118" t="s">
        <v>140</v>
      </c>
      <c r="C18" s="118"/>
      <c r="D18" s="236">
        <f>[1]!FP1290Medicaid</f>
        <v>0</v>
      </c>
      <c r="E18" s="19"/>
      <c r="F18" s="211">
        <v>14</v>
      </c>
      <c r="G18" s="237"/>
      <c r="H18" s="395" t="s">
        <v>141</v>
      </c>
      <c r="M18" s="242"/>
      <c r="N18" s="242"/>
      <c r="R18" s="221"/>
      <c r="S18" s="221"/>
    </row>
    <row r="19" spans="1:19" ht="12" customHeight="1">
      <c r="A19" s="235">
        <v>15</v>
      </c>
      <c r="B19" s="118" t="s">
        <v>142</v>
      </c>
      <c r="C19" s="118"/>
      <c r="D19" s="240">
        <f>[1]!FP1300Charter</f>
        <v>0</v>
      </c>
      <c r="E19" s="20"/>
      <c r="F19" s="211">
        <v>15</v>
      </c>
      <c r="G19" s="237"/>
      <c r="H19" s="118"/>
      <c r="I19" s="118"/>
      <c r="J19" s="118"/>
      <c r="K19" s="118"/>
      <c r="M19" s="502" t="s">
        <v>491</v>
      </c>
      <c r="N19" s="502" t="s">
        <v>486</v>
      </c>
      <c r="R19" s="221"/>
      <c r="S19" s="221"/>
    </row>
    <row r="20" spans="1:19" ht="12" customHeight="1">
      <c r="A20" s="235">
        <v>16</v>
      </c>
      <c r="B20" s="118" t="s">
        <v>143</v>
      </c>
      <c r="C20" s="118"/>
      <c r="D20" s="243">
        <f>[1]!FP13__ImpactAid</f>
        <v>0</v>
      </c>
      <c r="E20" s="24"/>
      <c r="F20" s="211">
        <v>16</v>
      </c>
      <c r="G20" s="237"/>
      <c r="H20" s="118"/>
      <c r="I20" s="118"/>
      <c r="J20" s="118"/>
      <c r="K20" s="118"/>
      <c r="M20" s="502"/>
      <c r="N20" s="502"/>
      <c r="R20" s="221"/>
      <c r="S20" s="221"/>
    </row>
    <row r="21" spans="1:19" ht="12" customHeight="1" thickBot="1">
      <c r="A21" s="235">
        <v>17</v>
      </c>
      <c r="B21" s="244" t="s">
        <v>144</v>
      </c>
      <c r="C21" s="238"/>
      <c r="D21" s="245">
        <f>[1]!FP13101399Other</f>
        <v>41880</v>
      </c>
      <c r="E21" s="21">
        <v>79230</v>
      </c>
      <c r="F21" s="211">
        <v>17</v>
      </c>
      <c r="G21" s="235" t="s">
        <v>5</v>
      </c>
      <c r="H21" s="395" t="s">
        <v>145</v>
      </c>
      <c r="I21" s="395"/>
      <c r="J21" s="118"/>
      <c r="K21" s="118"/>
      <c r="M21" s="240">
        <f>[1]!IIPTeacherCompensationIncreases</f>
        <v>0</v>
      </c>
      <c r="N21" s="20"/>
      <c r="O21" s="235" t="s">
        <v>5</v>
      </c>
      <c r="R21" s="221"/>
      <c r="S21" s="221"/>
    </row>
    <row r="22" spans="1:19" ht="12" customHeight="1" thickBot="1">
      <c r="A22" s="235">
        <v>18</v>
      </c>
      <c r="B22" s="118" t="s">
        <v>146</v>
      </c>
      <c r="C22" s="118"/>
      <c r="D22" s="246">
        <f>SUM(D5:D21)</f>
        <v>442153</v>
      </c>
      <c r="E22" s="246">
        <f>SUM(E5:E21)</f>
        <v>391877</v>
      </c>
      <c r="F22" s="211">
        <v>18</v>
      </c>
      <c r="G22" s="235" t="s">
        <v>8</v>
      </c>
      <c r="H22" s="118" t="s">
        <v>147</v>
      </c>
      <c r="I22" s="118"/>
      <c r="J22" s="247"/>
      <c r="M22" s="240">
        <f>[1]!IIPClassSizeReduction</f>
        <v>0</v>
      </c>
      <c r="N22" s="20"/>
      <c r="O22" s="235" t="s">
        <v>8</v>
      </c>
      <c r="R22" s="221"/>
      <c r="S22" s="221"/>
    </row>
    <row r="23" spans="1:19" ht="12.75" customHeight="1" thickTop="1">
      <c r="A23" s="248" t="s">
        <v>148</v>
      </c>
      <c r="B23" s="118"/>
      <c r="C23" s="118"/>
      <c r="D23" s="199"/>
      <c r="E23" s="249"/>
      <c r="F23" s="211"/>
      <c r="G23" s="235" t="s">
        <v>149</v>
      </c>
      <c r="H23" s="238" t="s">
        <v>150</v>
      </c>
      <c r="I23" s="238"/>
      <c r="J23" s="239"/>
      <c r="K23" s="250"/>
      <c r="M23" s="240">
        <f>[1]!IIPDropoutPreventionPrograms</f>
        <v>0</v>
      </c>
      <c r="N23" s="20"/>
      <c r="O23" s="235" t="s">
        <v>149</v>
      </c>
      <c r="R23" s="221"/>
      <c r="S23" s="221"/>
    </row>
    <row r="24" spans="1:19" ht="12" customHeight="1">
      <c r="A24" s="235">
        <v>19</v>
      </c>
      <c r="B24" s="118" t="s">
        <v>151</v>
      </c>
      <c r="C24" s="118"/>
      <c r="D24" s="207">
        <f>[1]!SP1400VocEd</f>
        <v>0</v>
      </c>
      <c r="E24" s="7"/>
      <c r="F24" s="211">
        <v>19</v>
      </c>
      <c r="G24" s="235" t="s">
        <v>152</v>
      </c>
      <c r="H24" s="238" t="s">
        <v>153</v>
      </c>
      <c r="I24" s="238"/>
      <c r="J24" s="239"/>
      <c r="K24" s="250"/>
      <c r="M24" s="240">
        <f>[1]!IIPInstructionalImprovementPrograms</f>
        <v>30858</v>
      </c>
      <c r="N24" s="20">
        <v>31047</v>
      </c>
      <c r="O24" s="235" t="s">
        <v>152</v>
      </c>
      <c r="R24" s="221"/>
      <c r="S24" s="221"/>
    </row>
    <row r="25" spans="1:19" ht="12" customHeight="1" thickBot="1">
      <c r="A25" s="235">
        <v>20</v>
      </c>
      <c r="B25" s="118" t="s">
        <v>154</v>
      </c>
      <c r="C25" s="118"/>
      <c r="D25" s="236">
        <f>[1]!SP1410EarlyChildhoodBlockGrant</f>
        <v>0</v>
      </c>
      <c r="E25" s="19"/>
      <c r="F25" s="211">
        <v>20</v>
      </c>
      <c r="G25" s="235" t="s">
        <v>155</v>
      </c>
      <c r="H25" s="395" t="s">
        <v>156</v>
      </c>
      <c r="I25" s="395"/>
      <c r="J25" s="118"/>
      <c r="K25" s="118"/>
      <c r="M25" s="246">
        <f>SUM(M21:M24)</f>
        <v>30858</v>
      </c>
      <c r="N25" s="246">
        <f>SUM(N21:N24)</f>
        <v>31047</v>
      </c>
      <c r="O25" s="235" t="s">
        <v>155</v>
      </c>
      <c r="R25" s="221"/>
      <c r="S25" s="221"/>
    </row>
    <row r="26" spans="1:19" ht="12" customHeight="1" thickTop="1">
      <c r="A26" s="235">
        <v>21</v>
      </c>
      <c r="B26" s="118" t="s">
        <v>157</v>
      </c>
      <c r="C26" s="118"/>
      <c r="D26" s="236">
        <f>[1]!FP1420ExtendedSchool</f>
        <v>0</v>
      </c>
      <c r="E26" s="19"/>
      <c r="F26" s="211">
        <v>21</v>
      </c>
      <c r="K26" s="247"/>
      <c r="R26" s="221"/>
      <c r="S26" s="221"/>
    </row>
    <row r="27" spans="1:19" ht="12" customHeight="1">
      <c r="A27" s="235">
        <v>22</v>
      </c>
      <c r="B27" s="118" t="s">
        <v>158</v>
      </c>
      <c r="C27" s="118"/>
      <c r="D27" s="236">
        <f>[1]!SP1425AdultBasicEd</f>
        <v>0</v>
      </c>
      <c r="E27" s="19"/>
      <c r="F27" s="211">
        <v>22</v>
      </c>
      <c r="H27" s="230" t="s">
        <v>159</v>
      </c>
      <c r="I27" s="129"/>
      <c r="J27" s="129"/>
      <c r="L27" s="233" t="s">
        <v>160</v>
      </c>
      <c r="M27" s="251"/>
      <c r="N27" s="251"/>
      <c r="O27" s="211"/>
      <c r="R27" s="221"/>
      <c r="S27" s="221"/>
    </row>
    <row r="28" spans="1:19" ht="12" customHeight="1">
      <c r="A28" s="235">
        <v>23</v>
      </c>
      <c r="B28" s="118" t="s">
        <v>161</v>
      </c>
      <c r="C28" s="118"/>
      <c r="D28" s="236">
        <f>[1]!SP1430ChemicalAbuse</f>
        <v>0</v>
      </c>
      <c r="E28" s="19"/>
      <c r="F28" s="211">
        <v>23</v>
      </c>
      <c r="H28" s="230" t="s">
        <v>162</v>
      </c>
      <c r="I28" s="129"/>
      <c r="J28" s="129"/>
      <c r="L28" s="129" t="s">
        <v>163</v>
      </c>
      <c r="M28" s="129"/>
      <c r="N28" s="129"/>
    </row>
    <row r="29" spans="1:19" ht="12" customHeight="1">
      <c r="A29" s="235">
        <v>24</v>
      </c>
      <c r="B29" s="118" t="s">
        <v>164</v>
      </c>
      <c r="C29" s="118"/>
      <c r="D29" s="236">
        <f>[1]!SP1435AcademicContests</f>
        <v>0</v>
      </c>
      <c r="E29" s="19"/>
      <c r="F29" s="211">
        <v>24</v>
      </c>
      <c r="H29" t="s">
        <v>165</v>
      </c>
      <c r="I29" s="409" t="s">
        <v>166</v>
      </c>
      <c r="J29" s="14">
        <v>5</v>
      </c>
      <c r="L29" s="6" t="s">
        <v>167</v>
      </c>
      <c r="N29" s="8">
        <v>23500</v>
      </c>
    </row>
    <row r="30" spans="1:19" ht="12" customHeight="1">
      <c r="A30" s="235">
        <v>25</v>
      </c>
      <c r="B30" s="118" t="s">
        <v>168</v>
      </c>
      <c r="C30" s="118"/>
      <c r="D30" s="236">
        <f>[1]!SP1450GiftedEd</f>
        <v>0</v>
      </c>
      <c r="E30" s="19"/>
      <c r="F30" s="211">
        <v>25</v>
      </c>
      <c r="G30" s="393"/>
      <c r="H30" t="s">
        <v>169</v>
      </c>
      <c r="I30" s="409" t="s">
        <v>166</v>
      </c>
      <c r="J30" s="25">
        <v>10</v>
      </c>
      <c r="K30" s="118"/>
      <c r="L30" s="6" t="s">
        <v>170</v>
      </c>
      <c r="N30" s="8">
        <f>SP1000P100F1000+SP1000P200F1000+TotalInstructionalImprovement+CSPTotal+TotalInstructionalImprovement+220000</f>
        <v>1957663</v>
      </c>
      <c r="O30" s="94"/>
    </row>
    <row r="31" spans="1:19" ht="12" customHeight="1">
      <c r="A31" s="235">
        <v>26</v>
      </c>
      <c r="B31" s="238" t="s">
        <v>171</v>
      </c>
      <c r="C31" s="238"/>
      <c r="D31" s="236">
        <f>'[1]Page 2'!$E$31</f>
        <v>0</v>
      </c>
      <c r="E31" s="19"/>
      <c r="F31" s="211">
        <v>26</v>
      </c>
      <c r="I31" s="409"/>
      <c r="J31" s="252"/>
      <c r="L31" s="6"/>
      <c r="N31" s="221"/>
      <c r="O31" s="94"/>
    </row>
    <row r="32" spans="1:19" ht="12" customHeight="1">
      <c r="A32" s="235">
        <v>27</v>
      </c>
      <c r="B32" s="118" t="s">
        <v>172</v>
      </c>
      <c r="C32" s="118"/>
      <c r="D32" s="236">
        <f>[1]!SP1460EnvironmentalSpecialPlate</f>
        <v>0</v>
      </c>
      <c r="E32" s="19"/>
      <c r="F32" s="211">
        <v>27</v>
      </c>
      <c r="H32" s="253" t="s">
        <v>173</v>
      </c>
      <c r="I32" s="254"/>
      <c r="J32" s="255"/>
      <c r="K32" s="256"/>
      <c r="L32" s="256"/>
      <c r="M32" s="256"/>
      <c r="O32" s="94"/>
    </row>
    <row r="33" spans="1:15" ht="12" customHeight="1">
      <c r="A33" s="235">
        <v>28</v>
      </c>
      <c r="B33" s="118" t="s">
        <v>174</v>
      </c>
      <c r="C33" s="118"/>
      <c r="D33" s="236">
        <f>[1]!SP1465CharterSchool</f>
        <v>0</v>
      </c>
      <c r="E33" s="19"/>
      <c r="F33" s="211">
        <v>28</v>
      </c>
      <c r="H33" s="253" t="s">
        <v>175</v>
      </c>
      <c r="I33" s="254"/>
      <c r="J33" s="255"/>
      <c r="K33" s="256"/>
      <c r="L33" s="256"/>
      <c r="M33" s="256"/>
    </row>
    <row r="34" spans="1:15" ht="12" customHeight="1">
      <c r="A34" s="235">
        <v>29</v>
      </c>
      <c r="B34" s="244" t="s">
        <v>176</v>
      </c>
      <c r="C34" s="257"/>
      <c r="D34" s="236">
        <f>'[1]Page 2'!$E$34</f>
        <v>0</v>
      </c>
      <c r="E34" s="19"/>
      <c r="F34" s="211">
        <v>29</v>
      </c>
      <c r="H34" s="118" t="s">
        <v>177</v>
      </c>
      <c r="K34" s="129"/>
      <c r="M34" s="258"/>
    </row>
    <row r="35" spans="1:15" ht="12" customHeight="1" thickBot="1">
      <c r="A35" s="235">
        <v>30</v>
      </c>
      <c r="B35" s="244" t="s">
        <v>178</v>
      </c>
      <c r="C35" s="244"/>
      <c r="D35" s="236">
        <f>[1]!SP14701499Other</f>
        <v>7237</v>
      </c>
      <c r="E35" s="19"/>
      <c r="F35" s="211">
        <v>30</v>
      </c>
      <c r="H35" s="118" t="s">
        <v>179</v>
      </c>
      <c r="M35" s="258"/>
      <c r="N35" s="8">
        <v>29107</v>
      </c>
    </row>
    <row r="36" spans="1:15" ht="12" customHeight="1" thickBot="1">
      <c r="A36" s="235">
        <v>31</v>
      </c>
      <c r="B36" s="118" t="s">
        <v>180</v>
      </c>
      <c r="C36" s="118"/>
      <c r="D36" s="259">
        <f>SUM(D24:D35)</f>
        <v>7237</v>
      </c>
      <c r="E36" s="259">
        <f>SUM(E24:E35)</f>
        <v>0</v>
      </c>
      <c r="F36" s="211">
        <v>31</v>
      </c>
      <c r="H36" s="118"/>
      <c r="K36" s="129"/>
      <c r="O36" s="235"/>
    </row>
    <row r="37" spans="1:15" ht="12" customHeight="1" thickTop="1" thickBot="1">
      <c r="A37" s="235">
        <v>32</v>
      </c>
      <c r="B37" s="118" t="s">
        <v>181</v>
      </c>
      <c r="C37" s="118"/>
      <c r="D37" s="246">
        <f>D22+D36</f>
        <v>449390</v>
      </c>
      <c r="E37" s="246">
        <f>E22+E36</f>
        <v>391877</v>
      </c>
      <c r="F37" s="211">
        <v>32</v>
      </c>
      <c r="G37" s="192"/>
      <c r="H37" s="260" t="s">
        <v>182</v>
      </c>
      <c r="N37" s="261"/>
      <c r="O37" s="235"/>
    </row>
    <row r="38" spans="1:15" ht="12" customHeight="1" thickTop="1">
      <c r="A38" s="393"/>
      <c r="F38" s="211"/>
      <c r="G38" s="262"/>
      <c r="H38" s="118" t="s">
        <v>183</v>
      </c>
      <c r="I38" s="230"/>
      <c r="J38" s="263"/>
      <c r="K38" s="230"/>
      <c r="L38" s="263"/>
      <c r="M38" s="230"/>
      <c r="N38" s="8">
        <v>0</v>
      </c>
      <c r="O38" s="235"/>
    </row>
    <row r="39" spans="1:15" ht="24" customHeight="1">
      <c r="B39" s="264" t="s">
        <v>184</v>
      </c>
      <c r="C39" s="233"/>
      <c r="D39" s="446" t="s">
        <v>487</v>
      </c>
      <c r="E39" s="446" t="s">
        <v>488</v>
      </c>
      <c r="F39" s="211"/>
      <c r="G39" s="262"/>
      <c r="H39" s="118" t="s">
        <v>185</v>
      </c>
      <c r="I39" s="118"/>
      <c r="J39" s="118"/>
      <c r="K39" s="118"/>
      <c r="L39" s="118"/>
      <c r="M39" s="118"/>
      <c r="N39" s="8">
        <v>0</v>
      </c>
      <c r="O39" s="235"/>
    </row>
    <row r="40" spans="1:15" ht="12.5">
      <c r="A40" s="237">
        <v>1</v>
      </c>
      <c r="B40" t="s">
        <v>186</v>
      </c>
      <c r="D40" s="236">
        <f t="array" ref="D40">[1]!CA0181IntangibleAssets</f>
        <v>0</v>
      </c>
      <c r="E40" s="8"/>
      <c r="F40" s="211">
        <v>1</v>
      </c>
      <c r="G40" s="235"/>
      <c r="H40" s="247"/>
      <c r="I40" s="247"/>
      <c r="J40" s="247"/>
      <c r="K40" s="247"/>
      <c r="L40" s="247"/>
      <c r="M40" s="247"/>
      <c r="N40" s="221"/>
      <c r="O40" s="235"/>
    </row>
    <row r="41" spans="1:15" ht="12" customHeight="1">
      <c r="A41" s="237">
        <v>2</v>
      </c>
      <c r="B41" s="118" t="s">
        <v>187</v>
      </c>
      <c r="D41" s="207">
        <f>[1]!CA0191Land</f>
        <v>0</v>
      </c>
      <c r="E41" s="8"/>
      <c r="F41" s="211">
        <v>2</v>
      </c>
      <c r="G41" s="235"/>
    </row>
    <row r="42" spans="1:15" ht="12" customHeight="1">
      <c r="A42" s="237">
        <v>3</v>
      </c>
      <c r="B42" s="118" t="s">
        <v>188</v>
      </c>
      <c r="D42" s="207">
        <f>[1]!CA0192SiteImprovements</f>
        <v>0</v>
      </c>
      <c r="E42" s="7"/>
      <c r="F42" s="211">
        <v>3</v>
      </c>
      <c r="G42" s="262"/>
    </row>
    <row r="43" spans="1:15" ht="12" customHeight="1">
      <c r="A43" s="237">
        <v>4</v>
      </c>
      <c r="B43" s="118" t="s">
        <v>189</v>
      </c>
      <c r="D43" s="207">
        <f>[1]!CA0194Buildings</f>
        <v>38562</v>
      </c>
      <c r="E43" s="7">
        <v>30000</v>
      </c>
      <c r="F43" s="211">
        <v>4</v>
      </c>
      <c r="G43" s="235"/>
    </row>
    <row r="44" spans="1:15" ht="12" customHeight="1">
      <c r="A44" s="237">
        <v>5</v>
      </c>
      <c r="B44" s="118" t="s">
        <v>190</v>
      </c>
      <c r="D44" s="207">
        <f>[1]!CA0196Equipment</f>
        <v>0</v>
      </c>
      <c r="E44" s="7"/>
      <c r="F44" s="211">
        <v>5</v>
      </c>
      <c r="G44" s="235"/>
    </row>
    <row r="45" spans="1:15" ht="12" customHeight="1" thickBot="1">
      <c r="A45" s="393">
        <v>6</v>
      </c>
      <c r="B45" s="118" t="s">
        <v>191</v>
      </c>
      <c r="D45" s="266">
        <f>[1]!CA0198CIP</f>
        <v>0</v>
      </c>
      <c r="E45" s="15"/>
      <c r="F45" s="211">
        <v>6</v>
      </c>
      <c r="G45" s="235"/>
    </row>
    <row r="46" spans="1:15" ht="12" customHeight="1" thickBot="1">
      <c r="A46" s="267">
        <v>7</v>
      </c>
      <c r="B46" s="118" t="s">
        <v>192</v>
      </c>
      <c r="D46" s="246">
        <f>SUM(D40:D45)</f>
        <v>38562</v>
      </c>
      <c r="E46" s="246">
        <f>SUM(E40:E45)</f>
        <v>30000</v>
      </c>
      <c r="F46" s="211">
        <v>7</v>
      </c>
      <c r="G46" s="265"/>
    </row>
    <row r="47" spans="1:15" ht="13.5" customHeight="1" thickTop="1">
      <c r="G47" s="265"/>
      <c r="N47" s="241"/>
    </row>
    <row r="48" spans="1:15" ht="13.5" customHeight="1">
      <c r="A48" s="267">
        <v>8</v>
      </c>
      <c r="B48" s="498" t="s">
        <v>193</v>
      </c>
      <c r="C48" s="499"/>
      <c r="D48" s="214">
        <f>[1]!CAK3Reading</f>
        <v>0</v>
      </c>
      <c r="E48" s="8">
        <v>0</v>
      </c>
      <c r="F48" s="211">
        <v>8</v>
      </c>
    </row>
    <row r="49" spans="9:9" ht="27" customHeight="1"/>
    <row r="50" spans="9:9" ht="12.75" customHeight="1">
      <c r="I50" s="6"/>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6" priority="1" stopIfTrue="1" operator="equal">
      <formula>"Invalid"</formula>
    </cfRule>
  </conditionalFormatting>
  <hyperlinks>
    <hyperlink ref="H3:N3" location="Pg2SpecialEd" display="SPECIAL EDUCATION PROGRAMS BY TYPE" xr:uid="{00000000-0004-0000-0200-000000000000}"/>
    <hyperlink ref="B39:C39" location="CapitalAcquisitions" display="CAPITAL ACQUISITIONS" xr:uid="{00000000-0004-0000-0200-000001000000}"/>
    <hyperlink ref="A3:E3" location="TotalFederalAndStateProjects" display="FEDERAL AND STATE PROJECTS" xr:uid="{00000000-0004-0000-0200-000002000000}"/>
    <hyperlink ref="H17:K17" r:id="rId1" display="INSTRUCTIONAL IMPROVEMENT PROJECT" xr:uid="{00000000-0004-0000-0200-000003000000}"/>
    <hyperlink ref="H17:L17" location="Pg2InstructionalImprovementProj" display="INSTRUCTIONAL IMPROVEMENT PROJECT" xr:uid="{00000000-0004-0000-0200-000004000000}"/>
    <hyperlink ref="H23:K23" location="Pg2Lines3and4" display="Dropout Prevention Programs" xr:uid="{00000000-0004-0000-0200-000005000000}"/>
    <hyperlink ref="H24:K24" location="Pg2Lines3and4" display="Instructional Improvement Programs" xr:uid="{00000000-0004-0000-0200-000006000000}"/>
    <hyperlink ref="H5:J5" location="Pg2Line1" display="Total All Categories" xr:uid="{00000000-0004-0000-0200-000007000000}"/>
    <hyperlink ref="H32:M33" location="Pg2StateEqualAssist" display="STATE EQUALIZATION ASSISTANCE BUDGETED" xr:uid="{00000000-0004-0000-0200-000008000000}"/>
    <hyperlink ref="B31:C31" location="CollegeCreditExamIncentives" display="1456 College Credit Exam Incentives" xr:uid="{00000000-0004-0000-0200-000009000000}"/>
    <hyperlink ref="B34:C34" location="ArizonaIndustryCredentialsIncentives" display="14__  Arizona Industry Credentials Incentives" xr:uid="{00000000-0004-0000-0200-00000A000000}"/>
    <hyperlink ref="B21:C21" location="TotalFederalAndStateProjects" display="1310-1399  Other Federal Projects" xr:uid="{00000000-0004-0000-0200-00000B000000}"/>
    <hyperlink ref="H37" location="Pg2DebtService" display="Debt service" xr:uid="{00000000-0004-0000-0200-00000C000000}"/>
    <hyperlink ref="H14:J15" location="Pg2Line9" display="Expenses budgeted for transporting students with disabilities (as defined in A.R.S. §15-761) unique to the IEP" xr:uid="{00000000-0004-0000-0200-00000D000000}"/>
    <hyperlink ref="L27:N27" location="Pg2ExpensesByType" display="Selected expenses by type" xr:uid="{00000000-0004-0000-0200-00000E000000}"/>
    <hyperlink ref="B35" location="OtherStateProjects" display="Other State Projects" xr:uid="{00000000-0004-0000-0200-00000F000000}"/>
  </hyperlinks>
  <printOptions horizontalCentered="1" verticalCentered="1"/>
  <pageMargins left="0.75" right="0.5" top="0.25" bottom="0.25" header="0" footer="0"/>
  <pageSetup scale="75" orientation="landscape" r:id="rId2"/>
  <headerFooter>
    <oddFooter>&amp;L&amp;"Arial,Bold"Rev. 5/25 Arizona Department of Education and Auditor General&amp;R&amp;"Arial,Bold"Page 2 of 4</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zoomScaleNormal="100" workbookViewId="0">
      <selection activeCell="G28" sqref="G28"/>
    </sheetView>
  </sheetViews>
  <sheetFormatPr defaultColWidth="9" defaultRowHeight="12.75" customHeight="1"/>
  <cols>
    <col min="1" max="2" width="1.54296875" customWidth="1"/>
    <col min="3" max="3" width="14.54296875" customWidth="1"/>
    <col min="4" max="4" width="52.453125" customWidth="1"/>
    <col min="5" max="5" width="3.54296875" customWidth="1"/>
    <col min="6" max="12" width="15.453125" customWidth="1"/>
    <col min="13" max="13" width="3.54296875" customWidth="1"/>
    <col min="14" max="15" width="13.54296875" customWidth="1"/>
    <col min="16" max="16" width="4" customWidth="1"/>
    <col min="17" max="17" width="9" customWidth="1"/>
  </cols>
  <sheetData>
    <row r="1" spans="1:14" ht="12.5">
      <c r="A1" t="s">
        <v>0</v>
      </c>
      <c r="D1" s="398" t="str">
        <f>CharterName</f>
        <v>Tucson International Academy</v>
      </c>
      <c r="E1" s="6"/>
      <c r="F1" s="409" t="s">
        <v>37</v>
      </c>
      <c r="G1" s="394" t="str">
        <f>Cover!M1</f>
        <v>Pima</v>
      </c>
      <c r="H1" s="5"/>
      <c r="I1" s="5"/>
      <c r="J1" s="5"/>
      <c r="K1" s="409" t="s">
        <v>2</v>
      </c>
      <c r="L1" s="399" t="str">
        <f>CTD</f>
        <v>108714000</v>
      </c>
      <c r="M1" s="5"/>
    </row>
    <row r="2" spans="1:14" ht="12.75" customHeight="1">
      <c r="A2" s="129"/>
      <c r="B2" s="129"/>
      <c r="C2" s="129"/>
      <c r="D2" s="129"/>
      <c r="E2" s="129"/>
      <c r="F2" s="129"/>
      <c r="G2" s="129"/>
      <c r="H2" s="129"/>
      <c r="I2" s="129"/>
      <c r="J2" s="129"/>
      <c r="K2" s="129"/>
    </row>
    <row r="3" spans="1:14" ht="12.5">
      <c r="A3" s="129"/>
      <c r="B3" s="129"/>
      <c r="C3" s="129"/>
      <c r="D3" s="129"/>
      <c r="E3" s="129"/>
      <c r="F3" s="129"/>
      <c r="G3" s="129"/>
      <c r="H3" s="129"/>
      <c r="I3" s="129"/>
      <c r="J3" s="129"/>
      <c r="K3" s="129"/>
    </row>
    <row r="4" spans="1:14" ht="13">
      <c r="A4" s="268"/>
      <c r="B4" s="269"/>
      <c r="C4" s="269"/>
      <c r="D4" s="506"/>
      <c r="E4" s="270"/>
      <c r="F4" s="271"/>
      <c r="G4" s="198" t="s">
        <v>194</v>
      </c>
      <c r="H4" s="272" t="s">
        <v>66</v>
      </c>
      <c r="I4" s="273"/>
      <c r="J4" s="504" t="s">
        <v>67</v>
      </c>
      <c r="K4" s="505"/>
      <c r="L4" s="273" t="s">
        <v>73</v>
      </c>
    </row>
    <row r="5" spans="1:14" ht="12.75" customHeight="1">
      <c r="A5" s="274" t="s">
        <v>68</v>
      </c>
      <c r="D5" s="495"/>
      <c r="E5" s="91"/>
      <c r="F5" s="195" t="s">
        <v>74</v>
      </c>
      <c r="G5" s="107" t="s">
        <v>75</v>
      </c>
      <c r="H5" s="275" t="s">
        <v>70</v>
      </c>
      <c r="I5" s="195" t="s">
        <v>77</v>
      </c>
      <c r="J5" s="195" t="s">
        <v>195</v>
      </c>
      <c r="K5" s="195" t="s">
        <v>196</v>
      </c>
      <c r="L5" s="195" t="s">
        <v>80</v>
      </c>
    </row>
    <row r="6" spans="1:14" ht="12.5">
      <c r="A6" s="404"/>
      <c r="B6" s="405"/>
      <c r="C6" s="405"/>
      <c r="D6" s="405"/>
      <c r="E6" s="406"/>
      <c r="F6" s="202">
        <v>6100</v>
      </c>
      <c r="G6" s="276">
        <v>6200</v>
      </c>
      <c r="H6" s="275" t="s">
        <v>197</v>
      </c>
      <c r="I6" s="195">
        <v>6600</v>
      </c>
      <c r="J6" s="195">
        <v>2025</v>
      </c>
      <c r="K6" s="195">
        <v>2026</v>
      </c>
      <c r="L6" s="195" t="s">
        <v>82</v>
      </c>
    </row>
    <row r="7" spans="1:14" ht="12.75" customHeight="1">
      <c r="A7" s="277" t="s">
        <v>198</v>
      </c>
      <c r="B7" s="278"/>
      <c r="C7" s="278"/>
      <c r="D7" s="278"/>
      <c r="F7" s="203"/>
      <c r="G7" s="204"/>
      <c r="H7" s="203"/>
      <c r="I7" s="203"/>
      <c r="J7" s="279"/>
      <c r="K7" s="204"/>
      <c r="L7" s="206"/>
      <c r="M7" s="280"/>
      <c r="N7" s="281"/>
    </row>
    <row r="8" spans="1:14" ht="13">
      <c r="A8" s="53"/>
      <c r="C8" t="s">
        <v>84</v>
      </c>
      <c r="D8" s="194"/>
      <c r="E8" s="393">
        <v>1</v>
      </c>
      <c r="F8" s="7">
        <f>242084+156200</f>
        <v>398284</v>
      </c>
      <c r="G8" s="22">
        <f>24208+15620</f>
        <v>39828</v>
      </c>
      <c r="H8" s="7"/>
      <c r="I8" s="7"/>
      <c r="J8" s="216">
        <f t="array" ref="J8">[1]!_CSP1000</f>
        <v>437440</v>
      </c>
      <c r="K8" s="208">
        <f t="shared" ref="K8:K12" si="0">SUM(F8:I8)</f>
        <v>438112</v>
      </c>
      <c r="L8" s="212">
        <f t="shared" ref="L8:L13" si="1">IF(J8=0," ",(K8-J8)/J8)</f>
        <v>2E-3</v>
      </c>
      <c r="M8" s="211">
        <v>1</v>
      </c>
      <c r="N8" s="281"/>
    </row>
    <row r="9" spans="1:14" ht="12.75" customHeight="1">
      <c r="A9" s="53"/>
      <c r="C9" t="s">
        <v>199</v>
      </c>
      <c r="E9" s="393">
        <v>2</v>
      </c>
      <c r="F9" s="7"/>
      <c r="G9" s="7"/>
      <c r="H9" s="7"/>
      <c r="I9" s="7"/>
      <c r="J9" s="207">
        <f t="array" ref="J9">[1]!_CSP2100</f>
        <v>0</v>
      </c>
      <c r="K9" s="208">
        <f t="shared" si="0"/>
        <v>0</v>
      </c>
      <c r="L9" s="212" t="str">
        <f t="shared" si="1"/>
        <v xml:space="preserve"> </v>
      </c>
      <c r="M9" s="211">
        <v>2</v>
      </c>
      <c r="N9" s="281"/>
    </row>
    <row r="10" spans="1:14" ht="13">
      <c r="A10" s="53"/>
      <c r="C10" t="s">
        <v>200</v>
      </c>
      <c r="E10" s="393">
        <v>3</v>
      </c>
      <c r="F10" s="7"/>
      <c r="G10" s="7"/>
      <c r="H10" s="7"/>
      <c r="I10" s="7"/>
      <c r="J10" s="207">
        <f t="array" ref="J10">[1]!_CSP2200</f>
        <v>0</v>
      </c>
      <c r="K10" s="208">
        <f t="shared" si="0"/>
        <v>0</v>
      </c>
      <c r="L10" s="212" t="str">
        <f t="shared" si="1"/>
        <v xml:space="preserve"> </v>
      </c>
      <c r="M10" s="211">
        <v>3</v>
      </c>
      <c r="N10" s="281"/>
    </row>
    <row r="11" spans="1:14" ht="12.5">
      <c r="A11" s="53"/>
      <c r="C11" s="244" t="s">
        <v>201</v>
      </c>
      <c r="D11" s="244"/>
      <c r="E11" s="393">
        <v>4</v>
      </c>
      <c r="F11" s="226"/>
      <c r="G11" s="226"/>
      <c r="H11" s="7"/>
      <c r="I11" s="226"/>
      <c r="J11" s="207">
        <f t="array" ref="J11">[1]!_CSP2300</f>
        <v>0</v>
      </c>
      <c r="K11" s="208">
        <f t="shared" si="0"/>
        <v>0</v>
      </c>
      <c r="L11" s="220" t="str">
        <f t="shared" si="1"/>
        <v xml:space="preserve"> </v>
      </c>
      <c r="M11" s="211">
        <v>4</v>
      </c>
    </row>
    <row r="12" spans="1:14" ht="12.75" customHeight="1">
      <c r="A12" s="53"/>
      <c r="C12" t="s">
        <v>202</v>
      </c>
      <c r="E12" s="393">
        <v>5</v>
      </c>
      <c r="F12" s="8"/>
      <c r="G12" s="8"/>
      <c r="H12" s="7"/>
      <c r="I12" s="226"/>
      <c r="J12" s="207">
        <f t="array" ref="J12">[1]!_CSP3300</f>
        <v>0</v>
      </c>
      <c r="K12" s="208">
        <f t="shared" si="0"/>
        <v>0</v>
      </c>
      <c r="L12" s="212" t="str">
        <f t="shared" si="1"/>
        <v xml:space="preserve"> </v>
      </c>
      <c r="M12" s="211">
        <v>5</v>
      </c>
      <c r="N12" s="281"/>
    </row>
    <row r="13" spans="1:14" ht="12.75" customHeight="1">
      <c r="A13" s="75" t="s">
        <v>203</v>
      </c>
      <c r="B13" s="227"/>
      <c r="C13" s="227"/>
      <c r="D13" s="227"/>
      <c r="E13" s="282">
        <v>6</v>
      </c>
      <c r="F13" s="283">
        <f>SUM(F8:F12)</f>
        <v>398284</v>
      </c>
      <c r="G13" s="283">
        <f>SUM(G8:G12)</f>
        <v>39828</v>
      </c>
      <c r="H13" s="283">
        <f>SUM(H8:H12)</f>
        <v>0</v>
      </c>
      <c r="I13" s="283">
        <f>SUM(I8:I12)</f>
        <v>0</v>
      </c>
      <c r="J13" s="284">
        <f t="array" ref="J13">[1]!CSPTotal</f>
        <v>437440</v>
      </c>
      <c r="K13" s="283">
        <f>SUM(F13:I13)</f>
        <v>438112</v>
      </c>
      <c r="L13" s="212">
        <f t="shared" si="1"/>
        <v>2E-3</v>
      </c>
      <c r="M13" s="211">
        <v>6</v>
      </c>
    </row>
    <row r="16" spans="1:14" ht="12.75" customHeight="1">
      <c r="A16" s="277" t="s">
        <v>204</v>
      </c>
      <c r="B16" s="285"/>
      <c r="C16" s="285"/>
      <c r="D16" s="285"/>
    </row>
    <row r="17" spans="3:6" ht="12.75" customHeight="1">
      <c r="C17" t="s">
        <v>205</v>
      </c>
      <c r="D17" s="192"/>
      <c r="F17" s="8"/>
    </row>
    <row r="18" spans="3:6" ht="12.75" customHeight="1">
      <c r="C18" t="s">
        <v>183</v>
      </c>
      <c r="D18" s="192"/>
      <c r="F18" s="7"/>
    </row>
    <row r="19" spans="3:6" ht="12.75" customHeight="1">
      <c r="C19" t="s">
        <v>185</v>
      </c>
      <c r="D19" s="192"/>
      <c r="F19" s="7"/>
    </row>
  </sheetData>
  <sheetProtection sheet="1" objects="1" scenarios="1"/>
  <mergeCells count="2">
    <mergeCell ref="J4:K4"/>
    <mergeCell ref="D4:D5"/>
  </mergeCells>
  <hyperlinks>
    <hyperlink ref="A7:D7" location="Pg3ClassroomSiteProj" display="Classroom Site Project 1011 - Base Salary" xr:uid="{00000000-0004-0000-0300-000000000000}"/>
    <hyperlink ref="C11" location="Page3ClassroomSiteProjectsFunc2300" display="2300 Support Services - General Administration" xr:uid="{00000000-0004-0000-0300-000001000000}"/>
    <hyperlink ref="A16:D16" location="Page3ClassroomSiteProjectsSubTable" display="Classroom Site Project 1010" xr:uid="{00000000-0004-0000-0300-000002000000}"/>
  </hyperlinks>
  <printOptions horizontalCentered="1"/>
  <pageMargins left="0.75" right="0.5" top="0.25" bottom="0.25" header="0" footer="0"/>
  <pageSetup scale="68" orientation="landscape" r:id="rId1"/>
  <headerFooter>
    <oddFooter>&amp;L&amp;"Arial,Bold"Rev. 5/25 Arizona Department of Education and Auditor General&amp;R&amp;"Arial,Bold"Page 3 of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zoomScaleNormal="100" workbookViewId="0">
      <selection activeCell="G9" sqref="G9"/>
    </sheetView>
  </sheetViews>
  <sheetFormatPr defaultColWidth="9.453125" defaultRowHeight="12.5"/>
  <cols>
    <col min="1" max="2" width="1.54296875" customWidth="1"/>
    <col min="3" max="3" width="14.54296875" customWidth="1"/>
    <col min="4" max="4" width="27" customWidth="1"/>
    <col min="5" max="5" width="3.54296875" customWidth="1"/>
    <col min="6" max="7" width="7" customWidth="1"/>
    <col min="8" max="14" width="12.54296875" customWidth="1"/>
    <col min="15" max="15" width="11.54296875" customWidth="1"/>
    <col min="16" max="16" width="3.54296875" customWidth="1"/>
    <col min="17" max="17" width="7" customWidth="1"/>
  </cols>
  <sheetData>
    <row r="1" spans="1:16">
      <c r="A1" t="s">
        <v>206</v>
      </c>
      <c r="D1" s="493" t="str">
        <f>CharterName</f>
        <v>Tucson International Academy</v>
      </c>
      <c r="E1" s="493"/>
      <c r="F1" s="493"/>
      <c r="G1" s="6"/>
      <c r="I1" s="409" t="s">
        <v>37</v>
      </c>
      <c r="J1" s="497" t="str">
        <f>Cover!M1</f>
        <v>Pima</v>
      </c>
      <c r="K1" s="497"/>
      <c r="M1" s="409" t="s">
        <v>2</v>
      </c>
      <c r="N1" s="494" t="str">
        <f>CTD</f>
        <v>108714000</v>
      </c>
      <c r="O1" s="494"/>
    </row>
    <row r="2" spans="1:16">
      <c r="A2" s="129"/>
      <c r="B2" s="129"/>
      <c r="C2" s="286"/>
      <c r="D2" s="129"/>
      <c r="E2" s="129"/>
      <c r="F2" s="129"/>
      <c r="G2" s="129"/>
      <c r="H2" s="129"/>
      <c r="I2" s="129"/>
      <c r="J2" s="129"/>
    </row>
    <row r="3" spans="1:16" ht="13">
      <c r="A3" s="287"/>
      <c r="B3" s="288"/>
      <c r="C3" s="288"/>
      <c r="D3" s="506"/>
      <c r="E3" s="289"/>
      <c r="F3" s="290" t="s">
        <v>207</v>
      </c>
      <c r="G3" s="270"/>
      <c r="H3" s="206"/>
      <c r="I3" s="206"/>
      <c r="J3" s="273" t="s">
        <v>66</v>
      </c>
      <c r="K3" s="205"/>
      <c r="L3" s="205"/>
      <c r="M3" s="196" t="s">
        <v>67</v>
      </c>
      <c r="N3" s="197"/>
      <c r="O3" s="206"/>
    </row>
    <row r="4" spans="1:16" ht="13">
      <c r="A4" s="274"/>
      <c r="D4" s="495"/>
      <c r="E4" s="91"/>
      <c r="F4" s="291" t="s">
        <v>208</v>
      </c>
      <c r="G4" s="292"/>
      <c r="H4" s="195"/>
      <c r="I4" s="195" t="s">
        <v>209</v>
      </c>
      <c r="J4" s="195" t="s">
        <v>70</v>
      </c>
      <c r="K4" s="199"/>
      <c r="L4" s="199"/>
      <c r="M4" s="199"/>
      <c r="N4" s="199"/>
      <c r="O4" s="195" t="s">
        <v>73</v>
      </c>
    </row>
    <row r="5" spans="1:16" ht="13">
      <c r="A5" s="274" t="s">
        <v>68</v>
      </c>
      <c r="E5" s="91"/>
      <c r="F5" s="273" t="s">
        <v>71</v>
      </c>
      <c r="G5" s="273" t="s">
        <v>72</v>
      </c>
      <c r="H5" s="195" t="s">
        <v>74</v>
      </c>
      <c r="I5" s="195" t="s">
        <v>75</v>
      </c>
      <c r="J5" s="195" t="s">
        <v>76</v>
      </c>
      <c r="K5" s="195" t="s">
        <v>77</v>
      </c>
      <c r="L5" s="195" t="s">
        <v>78</v>
      </c>
      <c r="M5" s="195" t="s">
        <v>195</v>
      </c>
      <c r="N5" s="195" t="s">
        <v>196</v>
      </c>
      <c r="O5" s="195" t="s">
        <v>80</v>
      </c>
    </row>
    <row r="6" spans="1:16" ht="13">
      <c r="A6" s="293"/>
      <c r="B6" s="405"/>
      <c r="C6" s="405"/>
      <c r="D6" s="405"/>
      <c r="E6" s="217"/>
      <c r="F6" s="195" t="s">
        <v>79</v>
      </c>
      <c r="G6" s="195" t="s">
        <v>79</v>
      </c>
      <c r="H6" s="202">
        <v>6100</v>
      </c>
      <c r="I6" s="202">
        <v>6200</v>
      </c>
      <c r="J6" s="202">
        <v>6500</v>
      </c>
      <c r="K6" s="202">
        <v>6600</v>
      </c>
      <c r="L6" s="202">
        <v>6800</v>
      </c>
      <c r="M6" s="195">
        <v>2025</v>
      </c>
      <c r="N6" s="195">
        <v>2026</v>
      </c>
      <c r="O6" s="195" t="s">
        <v>82</v>
      </c>
    </row>
    <row r="7" spans="1:16">
      <c r="A7" s="294" t="s">
        <v>210</v>
      </c>
      <c r="B7" s="295"/>
      <c r="C7" s="295"/>
      <c r="D7" s="295"/>
      <c r="E7" s="296"/>
      <c r="F7" s="297"/>
      <c r="G7" s="298"/>
      <c r="H7" s="203"/>
      <c r="I7" s="203"/>
      <c r="J7" s="203"/>
      <c r="K7" s="203"/>
      <c r="L7" s="204"/>
      <c r="M7" s="206"/>
      <c r="N7" s="206"/>
      <c r="O7" s="206"/>
    </row>
    <row r="8" spans="1:16">
      <c r="A8" s="53"/>
      <c r="B8" t="s">
        <v>211</v>
      </c>
      <c r="E8" s="393"/>
      <c r="F8" s="299"/>
      <c r="G8" s="300"/>
      <c r="H8" s="218"/>
      <c r="I8" s="218"/>
      <c r="J8" s="218"/>
      <c r="K8" s="218"/>
      <c r="L8" s="209"/>
      <c r="M8" s="218"/>
      <c r="N8" s="218"/>
      <c r="O8" s="210"/>
    </row>
    <row r="9" spans="1:16">
      <c r="A9" s="53"/>
      <c r="C9" t="s">
        <v>84</v>
      </c>
      <c r="E9" s="393">
        <v>1</v>
      </c>
      <c r="F9" s="301">
        <f t="array" ref="F9">[1]!SEIP1071P260F1000PPL</f>
        <v>0</v>
      </c>
      <c r="G9" s="23"/>
      <c r="H9" s="7"/>
      <c r="I9" s="7"/>
      <c r="J9" s="7"/>
      <c r="K9" s="7"/>
      <c r="L9" s="22"/>
      <c r="M9" s="207">
        <f t="array" ref="M9">[1]!SEIP1071P260F1000</f>
        <v>0</v>
      </c>
      <c r="N9" s="207">
        <f>SUM(H7:L9)</f>
        <v>0</v>
      </c>
      <c r="O9" s="212" t="str">
        <f>IF(M9=0," ",(N9-M9)/M9)</f>
        <v xml:space="preserve"> </v>
      </c>
      <c r="P9" s="211">
        <v>1</v>
      </c>
    </row>
    <row r="10" spans="1:16">
      <c r="A10" s="53"/>
      <c r="C10" t="s">
        <v>85</v>
      </c>
      <c r="E10" s="393"/>
      <c r="F10" s="206"/>
      <c r="G10" s="298"/>
      <c r="H10" s="203"/>
      <c r="I10" s="203"/>
      <c r="J10" s="203"/>
      <c r="K10" s="203"/>
      <c r="L10" s="204"/>
      <c r="M10" s="206"/>
      <c r="N10" s="206"/>
      <c r="O10" s="206"/>
      <c r="P10" s="211"/>
    </row>
    <row r="11" spans="1:16">
      <c r="A11" s="53"/>
      <c r="C11" t="s">
        <v>212</v>
      </c>
      <c r="E11" s="393">
        <v>2</v>
      </c>
      <c r="F11" s="301">
        <f t="array" ref="F11">[1]!SEIP1071P260F2100PPL</f>
        <v>0</v>
      </c>
      <c r="G11" s="23"/>
      <c r="H11" s="7"/>
      <c r="I11" s="7"/>
      <c r="J11" s="7"/>
      <c r="K11" s="7"/>
      <c r="L11" s="22"/>
      <c r="M11" s="207">
        <f t="array" ref="M11">[1]!SEIP1071P260F2100</f>
        <v>0</v>
      </c>
      <c r="N11" s="207">
        <f>SUM(H10:L11)</f>
        <v>0</v>
      </c>
      <c r="O11" s="212" t="str">
        <f>IF(M11=0," ",(N11-M11)/M11)</f>
        <v xml:space="preserve"> </v>
      </c>
      <c r="P11" s="211">
        <v>2</v>
      </c>
    </row>
    <row r="12" spans="1:16">
      <c r="A12" s="53"/>
      <c r="C12" t="s">
        <v>213</v>
      </c>
      <c r="E12" s="215">
        <v>3</v>
      </c>
      <c r="F12" s="301">
        <f t="array" ref="F12">[1]!SEIP1071P260F2200PPL</f>
        <v>0</v>
      </c>
      <c r="G12" s="17"/>
      <c r="H12" s="18"/>
      <c r="I12" s="18"/>
      <c r="J12" s="18"/>
      <c r="K12" s="18"/>
      <c r="L12" s="18"/>
      <c r="M12" s="302">
        <f t="array" ref="M12">[1]!SEIP1071P260F2200</f>
        <v>0</v>
      </c>
      <c r="N12" s="207">
        <f t="shared" ref="N12:N17" si="0">SUM(H12:L12)</f>
        <v>0</v>
      </c>
      <c r="O12" s="303" t="str">
        <f t="shared" ref="O12:O18" si="1">IF(M12=0," ",(N12-M12)/M12)</f>
        <v xml:space="preserve"> </v>
      </c>
      <c r="P12" s="213">
        <v>3</v>
      </c>
    </row>
    <row r="13" spans="1:16">
      <c r="A13" s="53"/>
      <c r="C13" t="s">
        <v>214</v>
      </c>
      <c r="E13" s="215">
        <v>4</v>
      </c>
      <c r="F13" s="304">
        <f t="array" ref="F13">[1]!SEIP1071P260F2300PPL</f>
        <v>0</v>
      </c>
      <c r="G13" s="17"/>
      <c r="H13" s="18"/>
      <c r="I13" s="18"/>
      <c r="J13" s="18"/>
      <c r="K13" s="18"/>
      <c r="L13" s="18"/>
      <c r="M13" s="284">
        <f t="array" ref="M13">[1]!SEIP1071P260F2300</f>
        <v>0</v>
      </c>
      <c r="N13" s="214">
        <f t="shared" si="0"/>
        <v>0</v>
      </c>
      <c r="O13" s="305" t="str">
        <f t="shared" si="1"/>
        <v xml:space="preserve"> </v>
      </c>
      <c r="P13" s="213">
        <v>4</v>
      </c>
    </row>
    <row r="14" spans="1:16">
      <c r="A14" s="53"/>
      <c r="C14" t="s">
        <v>215</v>
      </c>
      <c r="E14" s="215">
        <v>5</v>
      </c>
      <c r="F14" s="304">
        <f t="array" ref="F14">[1]!SEIP1071P260F2400PPL</f>
        <v>0</v>
      </c>
      <c r="G14" s="17"/>
      <c r="H14" s="18"/>
      <c r="I14" s="18"/>
      <c r="J14" s="18"/>
      <c r="K14" s="18"/>
      <c r="L14" s="18"/>
      <c r="M14" s="284">
        <f t="array" ref="M14">[1]!SEIP1071P260F2400</f>
        <v>0</v>
      </c>
      <c r="N14" s="214">
        <f t="shared" si="0"/>
        <v>0</v>
      </c>
      <c r="O14" s="305" t="str">
        <f t="shared" si="1"/>
        <v xml:space="preserve"> </v>
      </c>
      <c r="P14" s="213">
        <v>5</v>
      </c>
    </row>
    <row r="15" spans="1:16">
      <c r="A15" s="53"/>
      <c r="C15" t="s">
        <v>216</v>
      </c>
      <c r="E15" s="215">
        <v>6</v>
      </c>
      <c r="F15" s="304">
        <f t="array" ref="F15">[1]!SEIP1071P260F2500PPL</f>
        <v>0</v>
      </c>
      <c r="G15" s="17"/>
      <c r="H15" s="18"/>
      <c r="I15" s="18"/>
      <c r="J15" s="18"/>
      <c r="K15" s="18"/>
      <c r="L15" s="18"/>
      <c r="M15" s="284">
        <f t="array" ref="M15">[1]!SEIP1071P260F2500</f>
        <v>0</v>
      </c>
      <c r="N15" s="214">
        <f t="shared" si="0"/>
        <v>0</v>
      </c>
      <c r="O15" s="305" t="str">
        <f t="shared" si="1"/>
        <v xml:space="preserve"> </v>
      </c>
      <c r="P15" s="213">
        <v>6</v>
      </c>
    </row>
    <row r="16" spans="1:16">
      <c r="A16" s="53"/>
      <c r="C16" t="s">
        <v>217</v>
      </c>
      <c r="E16" s="215">
        <v>7</v>
      </c>
      <c r="F16" s="304">
        <f t="array" ref="F16">[1]!SEIP1071P260F2600PPL</f>
        <v>0</v>
      </c>
      <c r="G16" s="12"/>
      <c r="H16" s="8"/>
      <c r="I16" s="8"/>
      <c r="J16" s="8"/>
      <c r="K16" s="8"/>
      <c r="L16" s="8"/>
      <c r="M16" s="284">
        <f t="array" ref="M16">[1]!SEIP1071P260F2600</f>
        <v>0</v>
      </c>
      <c r="N16" s="214">
        <f t="shared" si="0"/>
        <v>0</v>
      </c>
      <c r="O16" s="305" t="str">
        <f t="shared" si="1"/>
        <v xml:space="preserve"> </v>
      </c>
      <c r="P16" s="213">
        <v>7</v>
      </c>
    </row>
    <row r="17" spans="1:16">
      <c r="A17" s="53"/>
      <c r="C17" t="s">
        <v>218</v>
      </c>
      <c r="E17" s="215">
        <v>8</v>
      </c>
      <c r="F17" s="304">
        <f t="array" ref="F17">[1]!SEIP1071P260F2900PPL</f>
        <v>0</v>
      </c>
      <c r="G17" s="13"/>
      <c r="H17" s="7"/>
      <c r="I17" s="7"/>
      <c r="J17" s="7"/>
      <c r="K17" s="7"/>
      <c r="L17" s="7"/>
      <c r="M17" s="284">
        <f t="array" ref="M17">[1]!SEIP1071P260F2900</f>
        <v>0</v>
      </c>
      <c r="N17" s="214">
        <f t="shared" si="0"/>
        <v>0</v>
      </c>
      <c r="O17" s="305" t="str">
        <f t="shared" si="1"/>
        <v xml:space="preserve"> </v>
      </c>
      <c r="P17" s="213">
        <v>8</v>
      </c>
    </row>
    <row r="18" spans="1:16">
      <c r="A18" s="404"/>
      <c r="B18" s="405" t="s">
        <v>219</v>
      </c>
      <c r="C18" s="405"/>
      <c r="D18" s="405"/>
      <c r="E18" s="217">
        <v>9</v>
      </c>
      <c r="F18" s="299">
        <f>SUM(F8:F17)</f>
        <v>0</v>
      </c>
      <c r="G18" s="301">
        <f t="shared" ref="G18:L18" si="2">SUM(G7:G17)</f>
        <v>0</v>
      </c>
      <c r="H18" s="207">
        <f t="shared" si="2"/>
        <v>0</v>
      </c>
      <c r="I18" s="207">
        <f t="shared" si="2"/>
        <v>0</v>
      </c>
      <c r="J18" s="207">
        <f t="shared" si="2"/>
        <v>0</v>
      </c>
      <c r="K18" s="207">
        <f t="shared" si="2"/>
        <v>0</v>
      </c>
      <c r="L18" s="207">
        <f t="shared" si="2"/>
        <v>0</v>
      </c>
      <c r="M18" s="218">
        <f>SUM(M8:M17)</f>
        <v>0</v>
      </c>
      <c r="N18" s="218">
        <f>SUM(N8:N17)</f>
        <v>0</v>
      </c>
      <c r="O18" s="306" t="str">
        <f t="shared" si="1"/>
        <v xml:space="preserve"> </v>
      </c>
      <c r="P18" s="211">
        <v>9</v>
      </c>
    </row>
    <row r="19" spans="1:16">
      <c r="A19" s="53"/>
      <c r="B19" t="s">
        <v>220</v>
      </c>
      <c r="E19" s="393"/>
      <c r="F19" s="206"/>
      <c r="G19" s="298"/>
      <c r="H19" s="203"/>
      <c r="I19" s="203"/>
      <c r="J19" s="203"/>
      <c r="K19" s="203"/>
      <c r="L19" s="204"/>
      <c r="M19" s="206"/>
      <c r="N19" s="205"/>
      <c r="O19" s="206"/>
      <c r="P19" s="211"/>
    </row>
    <row r="20" spans="1:16">
      <c r="A20" s="53"/>
      <c r="C20" t="s">
        <v>85</v>
      </c>
      <c r="E20" s="393"/>
      <c r="F20" s="299"/>
      <c r="G20" s="300"/>
      <c r="H20" s="218"/>
      <c r="I20" s="218"/>
      <c r="J20" s="218"/>
      <c r="K20" s="218"/>
      <c r="L20" s="209"/>
      <c r="M20" s="218"/>
      <c r="N20" s="209"/>
      <c r="O20" s="210"/>
      <c r="P20" s="211"/>
    </row>
    <row r="21" spans="1:16">
      <c r="A21" s="53"/>
      <c r="C21" t="s">
        <v>221</v>
      </c>
      <c r="E21" s="393">
        <v>10</v>
      </c>
      <c r="F21" s="301">
        <f t="array" ref="F21">[1]!SEIP1071P430F2700PPL</f>
        <v>0</v>
      </c>
      <c r="G21" s="23"/>
      <c r="H21" s="7"/>
      <c r="I21" s="7"/>
      <c r="J21" s="7"/>
      <c r="K21" s="7"/>
      <c r="L21" s="22"/>
      <c r="M21" s="207">
        <f t="array" ref="M21">[1]!SEIP1071P430F2700</f>
        <v>0</v>
      </c>
      <c r="N21" s="208">
        <f>SUM(H19:L21)</f>
        <v>0</v>
      </c>
      <c r="O21" s="212" t="str">
        <f>IF(M21=0," ",(N21-M21)/M21)</f>
        <v xml:space="preserve"> </v>
      </c>
      <c r="P21" s="211">
        <v>10</v>
      </c>
    </row>
    <row r="22" spans="1:16">
      <c r="A22" s="75" t="s">
        <v>222</v>
      </c>
      <c r="B22" s="227"/>
      <c r="C22" s="227"/>
      <c r="D22" s="227"/>
      <c r="E22" s="282">
        <v>11</v>
      </c>
      <c r="F22" s="301">
        <f t="shared" ref="F22:L22" si="3">SUM(F18:F21)</f>
        <v>0</v>
      </c>
      <c r="G22" s="301">
        <f t="shared" si="3"/>
        <v>0</v>
      </c>
      <c r="H22" s="214">
        <f t="shared" si="3"/>
        <v>0</v>
      </c>
      <c r="I22" s="214">
        <f t="shared" si="3"/>
        <v>0</v>
      </c>
      <c r="J22" s="214">
        <f t="shared" si="3"/>
        <v>0</v>
      </c>
      <c r="K22" s="214">
        <f t="shared" si="3"/>
        <v>0</v>
      </c>
      <c r="L22" s="214">
        <f t="shared" si="3"/>
        <v>0</v>
      </c>
      <c r="M22" s="207">
        <f t="array" ref="M22">[1]!TotalSEIP</f>
        <v>0</v>
      </c>
      <c r="N22" s="207">
        <f>SUM(N18:N21)</f>
        <v>0</v>
      </c>
      <c r="O22" s="212" t="str">
        <f>IF(M22=0," ",(N22-M22)/M22)</f>
        <v xml:space="preserve"> </v>
      </c>
      <c r="P22" s="213">
        <v>11</v>
      </c>
    </row>
    <row r="24" spans="1:16" ht="13">
      <c r="A24" s="287"/>
      <c r="B24" s="288"/>
      <c r="C24" s="288"/>
      <c r="D24" s="288"/>
      <c r="E24" s="289"/>
      <c r="F24" s="290" t="s">
        <v>207</v>
      </c>
      <c r="G24" s="270"/>
      <c r="H24" s="206"/>
      <c r="I24" s="206"/>
      <c r="J24" s="273" t="s">
        <v>66</v>
      </c>
      <c r="K24" s="205"/>
      <c r="L24" s="205"/>
      <c r="M24" s="196" t="s">
        <v>67</v>
      </c>
      <c r="N24" s="197"/>
      <c r="O24" s="206"/>
    </row>
    <row r="25" spans="1:16" ht="13">
      <c r="A25" s="274"/>
      <c r="E25" s="91"/>
      <c r="F25" s="291" t="s">
        <v>208</v>
      </c>
      <c r="G25" s="292"/>
      <c r="H25" s="195"/>
      <c r="I25" s="195" t="s">
        <v>209</v>
      </c>
      <c r="J25" s="195" t="s">
        <v>70</v>
      </c>
      <c r="K25" s="199"/>
      <c r="L25" s="199"/>
      <c r="M25" s="199"/>
      <c r="N25" s="199"/>
      <c r="O25" s="195" t="s">
        <v>73</v>
      </c>
    </row>
    <row r="26" spans="1:16" ht="13">
      <c r="A26" s="274" t="s">
        <v>68</v>
      </c>
      <c r="E26" s="91"/>
      <c r="F26" s="273" t="s">
        <v>71</v>
      </c>
      <c r="G26" s="273" t="s">
        <v>72</v>
      </c>
      <c r="H26" s="195" t="s">
        <v>74</v>
      </c>
      <c r="I26" s="195" t="s">
        <v>75</v>
      </c>
      <c r="J26" s="195" t="s">
        <v>76</v>
      </c>
      <c r="K26" s="195" t="s">
        <v>77</v>
      </c>
      <c r="L26" s="195" t="s">
        <v>78</v>
      </c>
      <c r="M26" s="195" t="s">
        <v>195</v>
      </c>
      <c r="N26" s="195" t="s">
        <v>196</v>
      </c>
      <c r="O26" s="195" t="s">
        <v>80</v>
      </c>
    </row>
    <row r="27" spans="1:16" ht="13">
      <c r="A27" s="293"/>
      <c r="B27" s="405"/>
      <c r="C27" s="405"/>
      <c r="D27" s="405"/>
      <c r="E27" s="217"/>
      <c r="F27" s="195" t="s">
        <v>79</v>
      </c>
      <c r="G27" s="195" t="s">
        <v>79</v>
      </c>
      <c r="H27" s="202">
        <v>6100</v>
      </c>
      <c r="I27" s="202">
        <v>6200</v>
      </c>
      <c r="J27" s="202">
        <v>6500</v>
      </c>
      <c r="K27" s="202">
        <v>6600</v>
      </c>
      <c r="L27" s="202">
        <v>6800</v>
      </c>
      <c r="M27" s="195">
        <v>2025</v>
      </c>
      <c r="N27" s="195">
        <v>2026</v>
      </c>
      <c r="O27" s="195" t="s">
        <v>82</v>
      </c>
    </row>
    <row r="28" spans="1:16">
      <c r="A28" s="294" t="s">
        <v>223</v>
      </c>
      <c r="B28" s="307"/>
      <c r="C28" s="307"/>
      <c r="D28" s="307"/>
      <c r="E28" s="308"/>
      <c r="F28" s="206"/>
      <c r="G28" s="298"/>
      <c r="H28" s="203"/>
      <c r="I28" s="203"/>
      <c r="J28" s="203"/>
      <c r="K28" s="203"/>
      <c r="L28" s="204"/>
      <c r="M28" s="206"/>
      <c r="N28" s="206"/>
      <c r="O28" s="206"/>
    </row>
    <row r="29" spans="1:16">
      <c r="A29" s="53"/>
      <c r="B29" t="s">
        <v>224</v>
      </c>
      <c r="E29" s="393"/>
      <c r="F29" s="299"/>
      <c r="G29" s="300"/>
      <c r="H29" s="218"/>
      <c r="I29" s="218"/>
      <c r="J29" s="218"/>
      <c r="K29" s="218"/>
      <c r="L29" s="209"/>
      <c r="M29" s="218"/>
      <c r="N29" s="218"/>
      <c r="O29" s="210"/>
    </row>
    <row r="30" spans="1:16">
      <c r="A30" s="53"/>
      <c r="C30" t="s">
        <v>84</v>
      </c>
      <c r="E30" s="393">
        <v>12</v>
      </c>
      <c r="F30" s="301">
        <f t="array" ref="F30">[1]!CIP1072P265F1000PPL</f>
        <v>0</v>
      </c>
      <c r="G30" s="23"/>
      <c r="H30" s="7"/>
      <c r="I30" s="7"/>
      <c r="J30" s="7"/>
      <c r="K30" s="7"/>
      <c r="L30" s="22"/>
      <c r="M30" s="207">
        <f t="array" ref="M30">[1]!CIP1072P265F1000</f>
        <v>0</v>
      </c>
      <c r="N30" s="207">
        <f>SUM(H28:L30)</f>
        <v>0</v>
      </c>
      <c r="O30" s="212" t="str">
        <f>IF(M30=0," ",(N30-M30)/M30)</f>
        <v xml:space="preserve"> </v>
      </c>
      <c r="P30" s="211">
        <v>12</v>
      </c>
    </row>
    <row r="31" spans="1:16">
      <c r="A31" s="53"/>
      <c r="C31" t="s">
        <v>85</v>
      </c>
      <c r="E31" s="393"/>
      <c r="F31" s="206"/>
      <c r="G31" s="298"/>
      <c r="H31" s="203"/>
      <c r="I31" s="203"/>
      <c r="J31" s="203"/>
      <c r="K31" s="203"/>
      <c r="L31" s="204"/>
      <c r="M31" s="206"/>
      <c r="N31" s="206"/>
      <c r="O31" s="206"/>
    </row>
    <row r="32" spans="1:16">
      <c r="A32" s="53"/>
      <c r="C32" t="s">
        <v>212</v>
      </c>
      <c r="E32" s="393">
        <v>13</v>
      </c>
      <c r="F32" s="301">
        <f t="array" ref="F32">[1]!CIP1072P265F2100PPL</f>
        <v>0</v>
      </c>
      <c r="G32" s="23"/>
      <c r="H32" s="7"/>
      <c r="I32" s="7"/>
      <c r="J32" s="7"/>
      <c r="K32" s="7"/>
      <c r="L32" s="22"/>
      <c r="M32" s="207">
        <f t="array" ref="M32">[1]!CIP1072P265F2100</f>
        <v>0</v>
      </c>
      <c r="N32" s="207">
        <f>SUM(H31:L32)</f>
        <v>0</v>
      </c>
      <c r="O32" s="212" t="str">
        <f>IF(M32=0," ",(N32-M32)/M32)</f>
        <v xml:space="preserve"> </v>
      </c>
      <c r="P32" s="211">
        <v>13</v>
      </c>
    </row>
    <row r="33" spans="1:16">
      <c r="A33" s="53"/>
      <c r="C33" t="s">
        <v>213</v>
      </c>
      <c r="E33" s="215">
        <v>14</v>
      </c>
      <c r="F33" s="301">
        <f t="array" ref="F33">[1]!CIP1072P265F2200PPL</f>
        <v>0</v>
      </c>
      <c r="G33" s="17"/>
      <c r="H33" s="18"/>
      <c r="I33" s="18"/>
      <c r="J33" s="18"/>
      <c r="K33" s="18"/>
      <c r="L33" s="18"/>
      <c r="M33" s="302">
        <f t="array" ref="M33">[1]!CIP1072P265F2200</f>
        <v>0</v>
      </c>
      <c r="N33" s="207">
        <f t="shared" ref="N33:N38" si="4">SUM(H33:L33)</f>
        <v>0</v>
      </c>
      <c r="O33" s="303" t="str">
        <f t="shared" ref="O33:O39" si="5">IF(M33=0," ",(N33-M33)/M33)</f>
        <v xml:space="preserve"> </v>
      </c>
      <c r="P33" s="213">
        <v>14</v>
      </c>
    </row>
    <row r="34" spans="1:16">
      <c r="A34" s="53"/>
      <c r="C34" t="s">
        <v>214</v>
      </c>
      <c r="E34" s="215">
        <v>15</v>
      </c>
      <c r="F34" s="301">
        <f t="array" ref="F34">[1]!CIP1072P265F2300PPL</f>
        <v>0</v>
      </c>
      <c r="G34" s="11"/>
      <c r="H34" s="9"/>
      <c r="I34" s="9"/>
      <c r="J34" s="9"/>
      <c r="K34" s="9"/>
      <c r="L34" s="9"/>
      <c r="M34" s="284">
        <f t="array" ref="M34">[1]!CIP1072P265F2300</f>
        <v>0</v>
      </c>
      <c r="N34" s="214">
        <f t="shared" si="4"/>
        <v>0</v>
      </c>
      <c r="O34" s="305" t="str">
        <f t="shared" si="5"/>
        <v xml:space="preserve"> </v>
      </c>
      <c r="P34" s="213">
        <v>15</v>
      </c>
    </row>
    <row r="35" spans="1:16">
      <c r="A35" s="53"/>
      <c r="C35" t="s">
        <v>215</v>
      </c>
      <c r="E35" s="215">
        <v>16</v>
      </c>
      <c r="F35" s="301">
        <f t="array" ref="F35">[1]!CIP1072P265F2400PPL</f>
        <v>0</v>
      </c>
      <c r="G35" s="11"/>
      <c r="H35" s="9"/>
      <c r="I35" s="9"/>
      <c r="J35" s="9"/>
      <c r="K35" s="9"/>
      <c r="L35" s="9"/>
      <c r="M35" s="284">
        <f t="array" ref="M35">[1]!CIP1072P265F2400</f>
        <v>0</v>
      </c>
      <c r="N35" s="214">
        <f t="shared" si="4"/>
        <v>0</v>
      </c>
      <c r="O35" s="305" t="str">
        <f t="shared" si="5"/>
        <v xml:space="preserve"> </v>
      </c>
      <c r="P35" s="213">
        <v>16</v>
      </c>
    </row>
    <row r="36" spans="1:16">
      <c r="A36" s="53"/>
      <c r="C36" t="s">
        <v>216</v>
      </c>
      <c r="E36" s="215">
        <v>17</v>
      </c>
      <c r="F36" s="301">
        <f t="array" ref="F36">[1]!CIP1072P265F2500PPL</f>
        <v>0</v>
      </c>
      <c r="G36" s="11"/>
      <c r="H36" s="9"/>
      <c r="I36" s="9"/>
      <c r="J36" s="9"/>
      <c r="K36" s="9"/>
      <c r="L36" s="9"/>
      <c r="M36" s="284">
        <f t="array" ref="M36">[1]!CIP1072P265F2500</f>
        <v>0</v>
      </c>
      <c r="N36" s="214">
        <f t="shared" si="4"/>
        <v>0</v>
      </c>
      <c r="O36" s="305" t="str">
        <f t="shared" si="5"/>
        <v xml:space="preserve"> </v>
      </c>
      <c r="P36" s="213">
        <v>17</v>
      </c>
    </row>
    <row r="37" spans="1:16">
      <c r="A37" s="53"/>
      <c r="C37" t="s">
        <v>217</v>
      </c>
      <c r="E37" s="215">
        <v>18</v>
      </c>
      <c r="F37" s="304">
        <f t="array" ref="F37">[1]!CIP1072P265F2600PPL</f>
        <v>0</v>
      </c>
      <c r="G37" s="12"/>
      <c r="H37" s="8"/>
      <c r="I37" s="8"/>
      <c r="J37" s="8"/>
      <c r="K37" s="8"/>
      <c r="L37" s="8"/>
      <c r="M37" s="284">
        <f t="array" ref="M37">[1]!CIP1072P265F2600</f>
        <v>0</v>
      </c>
      <c r="N37" s="214">
        <f t="shared" si="4"/>
        <v>0</v>
      </c>
      <c r="O37" s="305" t="str">
        <f t="shared" si="5"/>
        <v xml:space="preserve"> </v>
      </c>
      <c r="P37" s="213">
        <v>18</v>
      </c>
    </row>
    <row r="38" spans="1:16">
      <c r="A38" s="53"/>
      <c r="C38" t="s">
        <v>218</v>
      </c>
      <c r="E38" s="215">
        <v>19</v>
      </c>
      <c r="F38" s="301">
        <f t="array" ref="F38">[1]!CIP1072P265F2900PPL</f>
        <v>0</v>
      </c>
      <c r="G38" s="13"/>
      <c r="H38" s="7"/>
      <c r="I38" s="7"/>
      <c r="J38" s="7"/>
      <c r="K38" s="7"/>
      <c r="L38" s="7"/>
      <c r="M38" s="284">
        <f t="array" ref="M38">[1]!CIP1072P265F2900</f>
        <v>0</v>
      </c>
      <c r="N38" s="214">
        <f t="shared" si="4"/>
        <v>0</v>
      </c>
      <c r="O38" s="305" t="str">
        <f t="shared" si="5"/>
        <v xml:space="preserve"> </v>
      </c>
      <c r="P38" s="213">
        <v>19</v>
      </c>
    </row>
    <row r="39" spans="1:16">
      <c r="A39" s="404"/>
      <c r="B39" s="405" t="s">
        <v>225</v>
      </c>
      <c r="C39" s="405"/>
      <c r="D39" s="405"/>
      <c r="E39" s="217">
        <v>20</v>
      </c>
      <c r="F39" s="299">
        <f>SUM(F29:F38)</f>
        <v>0</v>
      </c>
      <c r="G39" s="301">
        <f t="shared" ref="G39:L39" si="6">SUM(G28:G38)</f>
        <v>0</v>
      </c>
      <c r="H39" s="207">
        <f t="shared" si="6"/>
        <v>0</v>
      </c>
      <c r="I39" s="207">
        <f t="shared" si="6"/>
        <v>0</v>
      </c>
      <c r="J39" s="207">
        <f t="shared" si="6"/>
        <v>0</v>
      </c>
      <c r="K39" s="207">
        <f t="shared" si="6"/>
        <v>0</v>
      </c>
      <c r="L39" s="207">
        <f t="shared" si="6"/>
        <v>0</v>
      </c>
      <c r="M39" s="218">
        <f>SUM(M29:M38)</f>
        <v>0</v>
      </c>
      <c r="N39" s="218">
        <f>SUM(N29:N38)</f>
        <v>0</v>
      </c>
      <c r="O39" s="306" t="str">
        <f t="shared" si="5"/>
        <v xml:space="preserve"> </v>
      </c>
      <c r="P39" s="211">
        <v>20</v>
      </c>
    </row>
    <row r="40" spans="1:16">
      <c r="A40" s="53"/>
      <c r="B40" t="s">
        <v>226</v>
      </c>
      <c r="E40" s="393"/>
      <c r="F40" s="206"/>
      <c r="G40" s="298"/>
      <c r="H40" s="203"/>
      <c r="I40" s="203"/>
      <c r="J40" s="203"/>
      <c r="K40" s="203"/>
      <c r="L40" s="204"/>
      <c r="M40" s="206"/>
      <c r="N40" s="206"/>
      <c r="O40" s="206"/>
      <c r="P40" s="211"/>
    </row>
    <row r="41" spans="1:16">
      <c r="A41" s="53"/>
      <c r="C41" t="s">
        <v>85</v>
      </c>
      <c r="E41" s="393"/>
      <c r="F41" s="299"/>
      <c r="G41" s="300"/>
      <c r="H41" s="218"/>
      <c r="I41" s="218"/>
      <c r="J41" s="218"/>
      <c r="K41" s="218"/>
      <c r="L41" s="209"/>
      <c r="M41" s="218"/>
      <c r="N41" s="218"/>
      <c r="O41" s="210"/>
      <c r="P41" s="211"/>
    </row>
    <row r="42" spans="1:16">
      <c r="A42" s="53"/>
      <c r="C42" t="s">
        <v>221</v>
      </c>
      <c r="E42" s="393">
        <v>21</v>
      </c>
      <c r="F42" s="301">
        <f t="array" ref="F42">[1]!CIP1072P435F2700PPL</f>
        <v>0</v>
      </c>
      <c r="G42" s="23"/>
      <c r="H42" s="7"/>
      <c r="I42" s="7"/>
      <c r="J42" s="7"/>
      <c r="K42" s="7"/>
      <c r="L42" s="22"/>
      <c r="M42" s="207">
        <f t="array" ref="M42">[1]!CIP1072P435F2700</f>
        <v>0</v>
      </c>
      <c r="N42" s="207">
        <f>SUM(H40:L42)</f>
        <v>0</v>
      </c>
      <c r="O42" s="212" t="str">
        <f>IF(M42=0," ",(N42-M42)/M42)</f>
        <v xml:space="preserve"> </v>
      </c>
      <c r="P42" s="211">
        <v>21</v>
      </c>
    </row>
    <row r="43" spans="1:16">
      <c r="A43" s="75" t="s">
        <v>227</v>
      </c>
      <c r="B43" s="227"/>
      <c r="C43" s="227"/>
      <c r="D43" s="227"/>
      <c r="E43" s="282">
        <v>22</v>
      </c>
      <c r="F43" s="301">
        <f>SUM(F39:F42)</f>
        <v>0</v>
      </c>
      <c r="G43" s="301">
        <f t="shared" ref="G43:L43" si="7">SUM(G39:G42)</f>
        <v>0</v>
      </c>
      <c r="H43" s="214">
        <f t="shared" si="7"/>
        <v>0</v>
      </c>
      <c r="I43" s="214">
        <f t="shared" si="7"/>
        <v>0</v>
      </c>
      <c r="J43" s="214">
        <f t="shared" si="7"/>
        <v>0</v>
      </c>
      <c r="K43" s="214">
        <f t="shared" si="7"/>
        <v>0</v>
      </c>
      <c r="L43" s="214">
        <f t="shared" si="7"/>
        <v>0</v>
      </c>
      <c r="M43" s="207">
        <f>SUM(M39:M42)</f>
        <v>0</v>
      </c>
      <c r="N43" s="207">
        <f>SUM(N39:N42)</f>
        <v>0</v>
      </c>
      <c r="O43" s="212" t="str">
        <f>IF(M43=0," ",(N43-M43)/M43)</f>
        <v xml:space="preserve"> </v>
      </c>
      <c r="P43" s="213">
        <v>22</v>
      </c>
    </row>
  </sheetData>
  <sheetProtection sheet="1" objects="1" scenarios="1"/>
  <mergeCells count="4">
    <mergeCell ref="D1:F1"/>
    <mergeCell ref="J1:K1"/>
    <mergeCell ref="N1:O1"/>
    <mergeCell ref="D3:D4"/>
  </mergeCells>
  <hyperlinks>
    <hyperlink ref="B7:D7" r:id="rId1" display="Structured English Immersion Project - 1071" xr:uid="{00000000-0004-0000-0400-000000000000}"/>
    <hyperlink ref="A7:D7" r:id="rId2" display="Structured English Immersion Project - 1071" xr:uid="{00000000-0004-0000-0400-000001000000}"/>
    <hyperlink ref="A28:D28" location="Pg4CompensatoryInstructionProj" display="Compensatory Instruction Project - 1072" xr:uid="{00000000-0004-0000-0400-000002000000}"/>
    <hyperlink ref="A7:F7" location="Pg4EnglishLanguageLearnerProj" display="Structured English Language Learner Immersion Project - 1071" xr:uid="{00000000-0004-0000-0400-000003000000}"/>
  </hyperlinks>
  <printOptions horizontalCentered="1" verticalCentered="1"/>
  <pageMargins left="0.75" right="0.5" top="0.25" bottom="0.25" header="0" footer="0"/>
  <pageSetup scale="76" orientation="landscape" r:id="rId3"/>
  <headerFooter>
    <oddFooter>&amp;L&amp;"Arial,Bold"Rev. 5/25 Arizona Department of Education and Auditor General&amp;R&amp;"Arial,Bold"Page 4 of 4</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topLeftCell="A15" zoomScaleNormal="100" workbookViewId="0">
      <selection activeCell="C57" sqref="C57"/>
    </sheetView>
  </sheetViews>
  <sheetFormatPr defaultColWidth="9" defaultRowHeight="12.5"/>
  <cols>
    <col min="1" max="2" width="1.54296875" style="126" customWidth="1"/>
    <col min="3" max="3" width="42" style="126" customWidth="1"/>
    <col min="4" max="5" width="12.54296875" style="126" customWidth="1"/>
    <col min="6" max="6" width="9.54296875" style="126" customWidth="1"/>
    <col min="7" max="7" width="4.54296875" style="126" customWidth="1"/>
    <col min="8" max="8" width="27.453125" style="126" customWidth="1"/>
    <col min="9" max="9" width="5.453125" style="126" customWidth="1"/>
    <col min="10" max="10" width="12.54296875" style="126" customWidth="1"/>
    <col min="11" max="11" width="13.54296875" style="126" customWidth="1"/>
    <col min="12" max="12" width="12.54296875" style="126" customWidth="1"/>
    <col min="13" max="13" width="9.54296875" style="126" customWidth="1"/>
    <col min="14" max="18" width="9" style="126" customWidth="1"/>
    <col min="19" max="16384" width="9" style="126"/>
  </cols>
  <sheetData>
    <row r="1" spans="1:13" ht="23.25" customHeight="1">
      <c r="A1" s="465" t="str">
        <f>IF(OR(BudgetVersion="Proposed",BudgetVersion=""),"FY 2026 Summary of charter school proposed budget",IF(BudgetVersion="Adopted","FY 2026 Summary of charter school adopted budget","FY 2026 Summary of charter school revised budget"))</f>
        <v>FY 2026 Summary of charter school adopted budget</v>
      </c>
      <c r="B1" s="465"/>
      <c r="C1" s="465"/>
      <c r="D1" s="465"/>
      <c r="E1" s="465"/>
      <c r="F1" s="465"/>
      <c r="G1" s="465"/>
      <c r="H1" s="465"/>
      <c r="I1" s="465"/>
      <c r="J1" s="465"/>
      <c r="K1" s="6" t="s">
        <v>2</v>
      </c>
      <c r="L1" s="309" t="str">
        <f>CTD</f>
        <v>108714000</v>
      </c>
    </row>
    <row r="2" spans="1:13" ht="3.75" customHeight="1"/>
    <row r="3" spans="1:13" ht="12" customHeight="1">
      <c r="A3" s="287" t="s">
        <v>228</v>
      </c>
      <c r="B3" s="310"/>
      <c r="C3" s="310"/>
      <c r="D3" s="533" t="s">
        <v>67</v>
      </c>
      <c r="E3" s="534"/>
      <c r="F3" s="311" t="s">
        <v>73</v>
      </c>
      <c r="H3" s="524" t="str">
        <f>CONCATENATE("The budget of ",IF(Cover!$D$3=0,Cover!$D$1,(CONCATENATE(Cover!$D$1," (d.b.a. ",Cover!$D$3,")")))," for fiscal year 2026 was officially proposed by the Governing Board on ",TEXT(Cover!$F$21,"mmmm dd, yyyy"),". The complete budget may be reviewed by contacting ",Cover!$O$15," at ",Cover!$M$16," or ",Cover!$P$16,".")</f>
        <v>The budget of Tucson International Academy for fiscal year 2026 was officially proposed by the Governing Board on July 01, 2025. The complete budget may be reviewed by contacting Dr. Jennifer Herrera at 5207923245 or jherrera@tiak.12.com.</v>
      </c>
      <c r="I3" s="525"/>
      <c r="J3" s="525"/>
      <c r="K3" s="525"/>
      <c r="L3" s="525"/>
      <c r="M3" s="526"/>
    </row>
    <row r="4" spans="1:13" ht="12" customHeight="1">
      <c r="A4" s="312"/>
      <c r="D4" s="273" t="s">
        <v>195</v>
      </c>
      <c r="E4" s="273" t="s">
        <v>196</v>
      </c>
      <c r="F4" s="313" t="s">
        <v>80</v>
      </c>
      <c r="H4" s="527"/>
      <c r="I4" s="528"/>
      <c r="J4" s="528"/>
      <c r="K4" s="528"/>
      <c r="L4" s="528"/>
      <c r="M4" s="529"/>
    </row>
    <row r="5" spans="1:13" ht="12" customHeight="1">
      <c r="A5" s="312" t="s">
        <v>83</v>
      </c>
      <c r="D5" s="202">
        <v>2025</v>
      </c>
      <c r="E5" s="202">
        <v>2026</v>
      </c>
      <c r="F5" s="314" t="s">
        <v>82</v>
      </c>
      <c r="H5" s="527"/>
      <c r="I5" s="528"/>
      <c r="J5" s="528"/>
      <c r="K5" s="528"/>
      <c r="L5" s="528"/>
      <c r="M5" s="529"/>
    </row>
    <row r="6" spans="1:13" ht="12" customHeight="1">
      <c r="A6" s="312"/>
      <c r="B6" s="126" t="s">
        <v>84</v>
      </c>
      <c r="D6" s="315">
        <f>SP1000P100F1000CY</f>
        <v>947352</v>
      </c>
      <c r="E6" s="315">
        <f>SP1000P100F1000</f>
        <v>993239</v>
      </c>
      <c r="F6" s="316">
        <f>IF(D6=0," ",(E6-D6)/D6)</f>
        <v>4.8000000000000001E-2</v>
      </c>
      <c r="H6" s="527"/>
      <c r="I6" s="528"/>
      <c r="J6" s="528"/>
      <c r="K6" s="528"/>
      <c r="L6" s="528"/>
      <c r="M6" s="529"/>
    </row>
    <row r="7" spans="1:13" ht="12" customHeight="1">
      <c r="A7" s="312"/>
      <c r="B7" s="126" t="s">
        <v>85</v>
      </c>
      <c r="D7" s="317"/>
      <c r="E7" s="318"/>
      <c r="F7" s="317"/>
      <c r="H7" s="530"/>
      <c r="I7" s="531"/>
      <c r="J7" s="531"/>
      <c r="K7" s="531"/>
      <c r="L7" s="531"/>
      <c r="M7" s="532"/>
    </row>
    <row r="8" spans="1:13" ht="12" customHeight="1">
      <c r="A8" s="312"/>
      <c r="C8" s="126" t="s">
        <v>229</v>
      </c>
      <c r="D8" s="315">
        <f>SP1000P100F2100CY</f>
        <v>32318</v>
      </c>
      <c r="E8" s="319">
        <f>SP1000P100F2100</f>
        <v>142883</v>
      </c>
      <c r="F8" s="212">
        <f>IF(D8=0," ",(E8-D8)/D8)</f>
        <v>3.4209999999999998</v>
      </c>
      <c r="H8" s="320"/>
      <c r="I8" s="320"/>
      <c r="J8" s="320"/>
      <c r="K8" s="320"/>
    </row>
    <row r="9" spans="1:13" ht="12" customHeight="1">
      <c r="A9" s="312"/>
      <c r="C9" s="126" t="s">
        <v>230</v>
      </c>
      <c r="D9" s="321">
        <f>SP1000P100F2200CY</f>
        <v>35139</v>
      </c>
      <c r="E9" s="321">
        <f>SP1000P100F2200</f>
        <v>123531</v>
      </c>
      <c r="F9" s="210">
        <f>IF(D9=0," ",(E9-D9)/D9)</f>
        <v>2.5150000000000001</v>
      </c>
      <c r="H9" s="318"/>
      <c r="I9" s="310"/>
      <c r="J9" s="322"/>
      <c r="K9" s="535" t="s">
        <v>67</v>
      </c>
      <c r="L9" s="536"/>
      <c r="M9" s="311" t="s">
        <v>73</v>
      </c>
    </row>
    <row r="10" spans="1:13" ht="12" customHeight="1">
      <c r="A10" s="312"/>
      <c r="C10" s="126" t="s">
        <v>231</v>
      </c>
      <c r="D10" s="321">
        <f>SP1000P100F2300CY</f>
        <v>25200</v>
      </c>
      <c r="E10" s="321">
        <f>SP1000P100F2300</f>
        <v>20100</v>
      </c>
      <c r="F10" s="316">
        <f t="shared" ref="F10:F21" si="0">IF(D10=0," ",(E10-D10)/D10)</f>
        <v>-0.20200000000000001</v>
      </c>
      <c r="H10" s="323" t="s">
        <v>232</v>
      </c>
      <c r="I10" s="324"/>
      <c r="J10" s="325"/>
      <c r="K10" s="273" t="s">
        <v>195</v>
      </c>
      <c r="L10" s="273" t="s">
        <v>196</v>
      </c>
      <c r="M10" s="313" t="s">
        <v>80</v>
      </c>
    </row>
    <row r="11" spans="1:13" ht="12" customHeight="1">
      <c r="A11" s="312"/>
      <c r="C11" s="126" t="s">
        <v>233</v>
      </c>
      <c r="D11" s="321">
        <f>SP1000P100F2400CY</f>
        <v>524812</v>
      </c>
      <c r="E11" s="321">
        <f>SP1000P100F2400</f>
        <v>304558</v>
      </c>
      <c r="F11" s="316">
        <f t="shared" si="0"/>
        <v>-0.42</v>
      </c>
      <c r="H11" s="326"/>
      <c r="I11" s="327"/>
      <c r="J11" s="328"/>
      <c r="K11" s="202">
        <v>2025</v>
      </c>
      <c r="L11" s="202">
        <v>2026</v>
      </c>
      <c r="M11" s="314" t="s">
        <v>82</v>
      </c>
    </row>
    <row r="12" spans="1:13" ht="12" customHeight="1">
      <c r="A12" s="312"/>
      <c r="C12" s="126" t="s">
        <v>234</v>
      </c>
      <c r="D12" s="321">
        <f>SP1000P100F2500CY</f>
        <v>701568</v>
      </c>
      <c r="E12" s="321">
        <f>SP1000P100F2500</f>
        <v>654422</v>
      </c>
      <c r="F12" s="316">
        <f t="shared" si="0"/>
        <v>-6.7000000000000004E-2</v>
      </c>
      <c r="H12" s="82" t="s">
        <v>118</v>
      </c>
      <c r="I12" s="6"/>
      <c r="J12" s="91"/>
      <c r="K12" s="315">
        <f>'Page 2'!M5</f>
        <v>383435</v>
      </c>
      <c r="L12" s="315">
        <f>'Page 2'!N5</f>
        <v>383437</v>
      </c>
      <c r="M12" s="316">
        <f t="shared" ref="M12:M19" si="1">IF(K12=0," ",(L12-K12)/K12)</f>
        <v>0</v>
      </c>
    </row>
    <row r="13" spans="1:13" ht="12" customHeight="1">
      <c r="A13" s="312"/>
      <c r="C13" s="126" t="s">
        <v>235</v>
      </c>
      <c r="D13" s="321">
        <f>SP1000P100F2600CY</f>
        <v>1338684</v>
      </c>
      <c r="E13" s="321">
        <f>SP1000P100F2600</f>
        <v>1228874</v>
      </c>
      <c r="F13" s="316">
        <f t="shared" si="0"/>
        <v>-8.2000000000000003E-2</v>
      </c>
      <c r="H13" s="82" t="s">
        <v>120</v>
      </c>
      <c r="I13" s="6"/>
      <c r="J13" s="91"/>
      <c r="K13" s="315">
        <f>P200GiftedEducationCY</f>
        <v>0</v>
      </c>
      <c r="L13" s="321">
        <f>P200GiftedEducation</f>
        <v>0</v>
      </c>
      <c r="M13" s="316" t="str">
        <f t="shared" si="1"/>
        <v xml:space="preserve"> </v>
      </c>
    </row>
    <row r="14" spans="1:13" ht="12" customHeight="1">
      <c r="A14" s="312"/>
      <c r="C14" s="126" t="s">
        <v>236</v>
      </c>
      <c r="D14" s="321">
        <f>SP1000P100F2900CY</f>
        <v>0</v>
      </c>
      <c r="E14" s="321">
        <f>SP1000P100F2900</f>
        <v>0</v>
      </c>
      <c r="F14" s="316" t="str">
        <f t="shared" si="0"/>
        <v xml:space="preserve"> </v>
      </c>
      <c r="H14" s="82" t="s">
        <v>122</v>
      </c>
      <c r="I14" s="6"/>
      <c r="J14" s="91"/>
      <c r="K14" s="315">
        <f>P200ELLIncrementalCostsCY</f>
        <v>0</v>
      </c>
      <c r="L14" s="321">
        <f>P200ELLIncrementalCosts</f>
        <v>0</v>
      </c>
      <c r="M14" s="316" t="str">
        <f t="shared" si="1"/>
        <v xml:space="preserve"> </v>
      </c>
    </row>
    <row r="15" spans="1:13" ht="12" customHeight="1">
      <c r="A15" s="312"/>
      <c r="B15" s="126" t="s">
        <v>93</v>
      </c>
      <c r="D15" s="321">
        <f>SP1000P100F3000CY</f>
        <v>337675</v>
      </c>
      <c r="E15" s="321">
        <f>SP1000P100F3000</f>
        <v>379107</v>
      </c>
      <c r="F15" s="316">
        <f t="shared" si="0"/>
        <v>0.123</v>
      </c>
      <c r="H15" s="82" t="s">
        <v>124</v>
      </c>
      <c r="I15" s="6"/>
      <c r="J15" s="91"/>
      <c r="K15" s="321">
        <f>P200ELLCompensatoryInstructionCY</f>
        <v>0</v>
      </c>
      <c r="L15" s="321">
        <f>P200ELLCompensatoryInstruction</f>
        <v>0</v>
      </c>
      <c r="M15" s="316" t="str">
        <f t="shared" si="1"/>
        <v xml:space="preserve"> </v>
      </c>
    </row>
    <row r="16" spans="1:13" ht="12" customHeight="1">
      <c r="A16" s="312"/>
      <c r="B16" s="126" t="s">
        <v>94</v>
      </c>
      <c r="D16" s="321">
        <f>SP1000P100F4000CY</f>
        <v>0</v>
      </c>
      <c r="E16" s="321">
        <f>SP1000P100F4000</f>
        <v>0</v>
      </c>
      <c r="F16" s="316" t="str">
        <f t="shared" si="0"/>
        <v xml:space="preserve"> </v>
      </c>
      <c r="H16" s="82" t="s">
        <v>126</v>
      </c>
      <c r="I16" s="6"/>
      <c r="J16" s="91"/>
      <c r="K16" s="321">
        <f>P200RemedialEducationCY</f>
        <v>0</v>
      </c>
      <c r="L16" s="321">
        <f>P200RemedialEducation</f>
        <v>0</v>
      </c>
      <c r="M16" s="316" t="str">
        <f t="shared" si="1"/>
        <v xml:space="preserve"> </v>
      </c>
    </row>
    <row r="17" spans="1:13" ht="12" customHeight="1">
      <c r="A17" s="312"/>
      <c r="B17" s="126" t="s">
        <v>95</v>
      </c>
      <c r="D17" s="321">
        <f>SP1000P100F5000CY</f>
        <v>0</v>
      </c>
      <c r="E17" s="321">
        <f>SP1000P100F5000</f>
        <v>0</v>
      </c>
      <c r="F17" s="316" t="str">
        <f t="shared" si="0"/>
        <v xml:space="preserve"> </v>
      </c>
      <c r="H17" s="82" t="s">
        <v>128</v>
      </c>
      <c r="I17" s="6"/>
      <c r="J17" s="91"/>
      <c r="K17" s="321">
        <f>P200VocationalandTechnologicalEdCY</f>
        <v>0</v>
      </c>
      <c r="L17" s="321">
        <f>P200VocationalandTechnologicalEd</f>
        <v>0</v>
      </c>
      <c r="M17" s="316" t="str">
        <f t="shared" si="1"/>
        <v xml:space="preserve"> </v>
      </c>
    </row>
    <row r="18" spans="1:13" ht="12" customHeight="1">
      <c r="A18" s="312" t="s">
        <v>96</v>
      </c>
      <c r="D18" s="321">
        <f>SP1000P610CY</f>
        <v>0</v>
      </c>
      <c r="E18" s="321">
        <f>SP1000P610</f>
        <v>0</v>
      </c>
      <c r="F18" s="316" t="str">
        <f t="shared" si="0"/>
        <v xml:space="preserve"> </v>
      </c>
      <c r="H18" s="82" t="s">
        <v>130</v>
      </c>
      <c r="I18" s="6"/>
      <c r="J18" s="91"/>
      <c r="K18" s="329">
        <f>P200CareerEducationCY</f>
        <v>0</v>
      </c>
      <c r="L18" s="329">
        <f>P200CareerEducation</f>
        <v>0</v>
      </c>
      <c r="M18" s="316" t="str">
        <f t="shared" si="1"/>
        <v xml:space="preserve"> </v>
      </c>
    </row>
    <row r="19" spans="1:13" ht="12" customHeight="1">
      <c r="A19" s="312" t="s">
        <v>97</v>
      </c>
      <c r="D19" s="321">
        <f>SP1000P620CY</f>
        <v>3450</v>
      </c>
      <c r="E19" s="321">
        <f>SP1000P620</f>
        <v>3608</v>
      </c>
      <c r="F19" s="316">
        <f t="shared" si="0"/>
        <v>4.5999999999999999E-2</v>
      </c>
      <c r="H19" s="537" t="s">
        <v>237</v>
      </c>
      <c r="I19" s="493"/>
      <c r="J19" s="493"/>
      <c r="K19" s="321">
        <f>SUM(K12:K18)</f>
        <v>383435</v>
      </c>
      <c r="L19" s="321">
        <f>SUM(L12:L18)</f>
        <v>383437</v>
      </c>
      <c r="M19" s="220">
        <f t="shared" si="1"/>
        <v>0</v>
      </c>
    </row>
    <row r="20" spans="1:13" ht="12" customHeight="1">
      <c r="A20" s="312" t="s">
        <v>98</v>
      </c>
      <c r="D20" s="321">
        <f>SP1000P630700800900CY</f>
        <v>38769</v>
      </c>
      <c r="E20" s="321">
        <f>SP1000P630700800900</f>
        <v>51811</v>
      </c>
      <c r="F20" s="316">
        <f t="shared" si="0"/>
        <v>0.33600000000000002</v>
      </c>
      <c r="H20" s="330"/>
      <c r="I20" s="330"/>
      <c r="K20" s="331"/>
      <c r="L20" s="331"/>
      <c r="M20" s="222"/>
    </row>
    <row r="21" spans="1:13" ht="12" customHeight="1">
      <c r="A21" s="332"/>
      <c r="B21" s="333" t="s">
        <v>238</v>
      </c>
      <c r="C21" s="328"/>
      <c r="D21" s="321">
        <f>SUM(D6:D20)</f>
        <v>3984967</v>
      </c>
      <c r="E21" s="321">
        <f>SUM(E6:E20)</f>
        <v>3902133</v>
      </c>
      <c r="F21" s="316">
        <f t="shared" si="0"/>
        <v>-2.1000000000000001E-2</v>
      </c>
      <c r="H21" s="520" t="s">
        <v>239</v>
      </c>
      <c r="I21" s="521"/>
      <c r="J21" s="521"/>
      <c r="K21" s="521"/>
      <c r="L21" s="522"/>
      <c r="M21" s="222"/>
    </row>
    <row r="22" spans="1:13" ht="12" customHeight="1">
      <c r="A22" s="312" t="s">
        <v>100</v>
      </c>
      <c r="D22" s="317"/>
      <c r="E22" s="318"/>
      <c r="F22" s="317"/>
      <c r="H22" s="312"/>
      <c r="J22" s="508" t="s">
        <v>67</v>
      </c>
      <c r="K22" s="509"/>
      <c r="L22" s="313" t="s">
        <v>73</v>
      </c>
      <c r="M22" s="222"/>
    </row>
    <row r="23" spans="1:13" ht="12" customHeight="1">
      <c r="A23" s="312"/>
      <c r="B23" s="126" t="s">
        <v>84</v>
      </c>
      <c r="D23" s="334">
        <f>SP1000P200F1000CY</f>
        <v>240406</v>
      </c>
      <c r="E23" s="335">
        <f>SP1000P200F1000</f>
        <v>244218</v>
      </c>
      <c r="F23" s="212">
        <f>IF(D23=0," ",(E23-D23)/D23)</f>
        <v>1.6E-2</v>
      </c>
      <c r="H23" s="312"/>
      <c r="J23" s="273" t="s">
        <v>195</v>
      </c>
      <c r="K23" s="273" t="s">
        <v>196</v>
      </c>
      <c r="L23" s="313" t="s">
        <v>80</v>
      </c>
      <c r="M23" s="222"/>
    </row>
    <row r="24" spans="1:13" ht="12" customHeight="1">
      <c r="A24" s="312"/>
      <c r="B24" s="126" t="s">
        <v>85</v>
      </c>
      <c r="D24" s="317"/>
      <c r="E24" s="317"/>
      <c r="F24" s="210"/>
      <c r="H24" s="336"/>
      <c r="J24" s="202">
        <v>2025</v>
      </c>
      <c r="K24" s="202">
        <v>2026</v>
      </c>
      <c r="L24" s="314" t="s">
        <v>82</v>
      </c>
      <c r="M24" s="222"/>
    </row>
    <row r="25" spans="1:13" ht="12" customHeight="1">
      <c r="A25" s="312"/>
      <c r="C25" s="126" t="s">
        <v>229</v>
      </c>
      <c r="D25" s="315">
        <f>SP1000P200F2100CY</f>
        <v>4835</v>
      </c>
      <c r="E25" s="315">
        <f>SP1000P200F2100</f>
        <v>31578</v>
      </c>
      <c r="F25" s="212">
        <f t="shared" ref="F25:F41" si="2">IF(D25=0," ",(E25-D25)/D25)</f>
        <v>5.5309999999999997</v>
      </c>
      <c r="H25" s="337" t="s">
        <v>240</v>
      </c>
      <c r="I25" s="338"/>
      <c r="J25" s="315">
        <f>SP1000TotalCY</f>
        <v>4435331</v>
      </c>
      <c r="K25" s="315">
        <f>SP1000Total</f>
        <v>4340625</v>
      </c>
      <c r="L25" s="220">
        <f>IF(J25=0," ",(K25-J25)/J25)</f>
        <v>-2.1000000000000001E-2</v>
      </c>
      <c r="M25" s="222"/>
    </row>
    <row r="26" spans="1:13" ht="12" customHeight="1">
      <c r="A26" s="312"/>
      <c r="C26" s="126" t="s">
        <v>230</v>
      </c>
      <c r="D26" s="315">
        <f>SP1000P200F2200CY</f>
        <v>36000</v>
      </c>
      <c r="E26" s="315">
        <f>SP1000P200F2200</f>
        <v>27000</v>
      </c>
      <c r="F26" s="210">
        <f t="shared" si="2"/>
        <v>-0.25</v>
      </c>
      <c r="H26" s="75" t="s">
        <v>241</v>
      </c>
      <c r="I26" s="338"/>
      <c r="J26" s="321">
        <f>SP1000ClassSiteProjCY</f>
        <v>437440</v>
      </c>
      <c r="K26" s="321">
        <f>SP1000ClassSiteProj</f>
        <v>438112</v>
      </c>
      <c r="L26" s="220">
        <f t="shared" ref="L26:L33" si="3">IF(J26=0," ",(K26-J26)/J26)</f>
        <v>2E-3</v>
      </c>
      <c r="M26" s="222"/>
    </row>
    <row r="27" spans="1:13" ht="12" customHeight="1">
      <c r="A27" s="312"/>
      <c r="C27" s="126" t="s">
        <v>231</v>
      </c>
      <c r="D27" s="315">
        <f>SP1000P200F2300CY</f>
        <v>0</v>
      </c>
      <c r="E27" s="315">
        <f>SP1000P200F2300</f>
        <v>0</v>
      </c>
      <c r="F27" s="316" t="str">
        <f t="shared" si="2"/>
        <v xml:space="preserve"> </v>
      </c>
      <c r="H27" s="75" t="s">
        <v>242</v>
      </c>
      <c r="I27" s="338"/>
      <c r="J27" s="321">
        <f>SP1000InstrImpProjCY</f>
        <v>30858</v>
      </c>
      <c r="K27" s="321">
        <f>SP1000InstrImpProj</f>
        <v>31047</v>
      </c>
      <c r="L27" s="220">
        <f t="shared" si="3"/>
        <v>6.0000000000000001E-3</v>
      </c>
      <c r="M27" s="222"/>
    </row>
    <row r="28" spans="1:13" ht="12" customHeight="1">
      <c r="A28" s="312"/>
      <c r="C28" s="126" t="s">
        <v>233</v>
      </c>
      <c r="D28" s="315">
        <f>SP1000P200F2400CY</f>
        <v>102194</v>
      </c>
      <c r="E28" s="315">
        <f>SP1000P200F2400</f>
        <v>80641</v>
      </c>
      <c r="F28" s="316">
        <f t="shared" si="2"/>
        <v>-0.21099999999999999</v>
      </c>
      <c r="H28" s="75" t="s">
        <v>243</v>
      </c>
      <c r="I28" s="338"/>
      <c r="J28" s="321">
        <f>SP1000StruEngImmProjCY</f>
        <v>0</v>
      </c>
      <c r="K28" s="321">
        <f>SP1000StruEngImmProj</f>
        <v>0</v>
      </c>
      <c r="L28" s="220" t="str">
        <f t="shared" si="3"/>
        <v xml:space="preserve"> </v>
      </c>
      <c r="M28" s="222"/>
    </row>
    <row r="29" spans="1:13" ht="12" customHeight="1">
      <c r="A29" s="312"/>
      <c r="C29" s="126" t="s">
        <v>234</v>
      </c>
      <c r="D29" s="315">
        <f>SP1000P200F2500CY</f>
        <v>0</v>
      </c>
      <c r="E29" s="315">
        <f>SP1000P200F2500</f>
        <v>0</v>
      </c>
      <c r="F29" s="316" t="str">
        <f t="shared" si="2"/>
        <v xml:space="preserve"> </v>
      </c>
      <c r="H29" s="75" t="s">
        <v>244</v>
      </c>
      <c r="I29" s="338"/>
      <c r="J29" s="321">
        <f>SP1000CompInstrProjCY</f>
        <v>0</v>
      </c>
      <c r="K29" s="321">
        <f>SP1000CompInstrProj</f>
        <v>0</v>
      </c>
      <c r="L29" s="220" t="str">
        <f t="shared" si="3"/>
        <v xml:space="preserve"> </v>
      </c>
      <c r="M29" s="222"/>
    </row>
    <row r="30" spans="1:13" ht="12" customHeight="1">
      <c r="A30" s="312"/>
      <c r="C30" s="126" t="s">
        <v>235</v>
      </c>
      <c r="D30" s="315">
        <f>SP1000P200F2600CY</f>
        <v>0</v>
      </c>
      <c r="E30" s="315">
        <f>SP1000P200F2600</f>
        <v>0</v>
      </c>
      <c r="F30" s="316" t="str">
        <f t="shared" si="2"/>
        <v xml:space="preserve"> </v>
      </c>
      <c r="H30" s="75" t="s">
        <v>245</v>
      </c>
      <c r="I30" s="338"/>
      <c r="J30" s="321">
        <f>TotalFederalProjectsCY</f>
        <v>442153</v>
      </c>
      <c r="K30" s="321">
        <f>TotalFederalProjects</f>
        <v>391877</v>
      </c>
      <c r="L30" s="220">
        <f t="shared" si="3"/>
        <v>-0.114</v>
      </c>
      <c r="M30" s="222"/>
    </row>
    <row r="31" spans="1:13" ht="12" customHeight="1">
      <c r="A31" s="312"/>
      <c r="C31" s="126" t="s">
        <v>236</v>
      </c>
      <c r="D31" s="315">
        <f>SP1000P200F2900CY</f>
        <v>0</v>
      </c>
      <c r="E31" s="315">
        <f>SP1000P200F2900</f>
        <v>0</v>
      </c>
      <c r="F31" s="316" t="str">
        <f t="shared" si="2"/>
        <v xml:space="preserve"> </v>
      </c>
      <c r="H31" s="75" t="s">
        <v>246</v>
      </c>
      <c r="I31" s="338"/>
      <c r="J31" s="321">
        <f>TotalStateProjectsCY</f>
        <v>7237</v>
      </c>
      <c r="K31" s="321">
        <f>TotalStateProjects</f>
        <v>0</v>
      </c>
      <c r="L31" s="220">
        <f t="shared" si="3"/>
        <v>-1</v>
      </c>
      <c r="M31" s="222"/>
    </row>
    <row r="32" spans="1:13" ht="12" customHeight="1">
      <c r="A32" s="312"/>
      <c r="B32" s="126" t="s">
        <v>93</v>
      </c>
      <c r="D32" s="315">
        <f>SP1000P200F3000CY</f>
        <v>0</v>
      </c>
      <c r="E32" s="315">
        <f>SP1000P200F3000</f>
        <v>0</v>
      </c>
      <c r="F32" s="316" t="str">
        <f t="shared" si="2"/>
        <v xml:space="preserve"> </v>
      </c>
      <c r="H32" s="75" t="s">
        <v>184</v>
      </c>
      <c r="I32" s="338"/>
      <c r="J32" s="321">
        <f>TotalCapitalAcquisitionsCY</f>
        <v>38562</v>
      </c>
      <c r="K32" s="321">
        <f>TotalCapitalAcquisitions</f>
        <v>30000</v>
      </c>
      <c r="L32" s="220">
        <f t="shared" si="3"/>
        <v>-0.222</v>
      </c>
      <c r="M32" s="222"/>
    </row>
    <row r="33" spans="1:14" ht="12" customHeight="1">
      <c r="A33" s="312"/>
      <c r="B33" s="126" t="s">
        <v>94</v>
      </c>
      <c r="D33" s="315">
        <f>SP1000P200F4000CY</f>
        <v>0</v>
      </c>
      <c r="E33" s="315">
        <f>SP1000P200F4000</f>
        <v>0</v>
      </c>
      <c r="F33" s="316" t="str">
        <f t="shared" si="2"/>
        <v xml:space="preserve"> </v>
      </c>
      <c r="H33" s="75" t="s">
        <v>247</v>
      </c>
      <c r="I33" s="338"/>
      <c r="J33" s="321">
        <f>SUM(J25:J32)</f>
        <v>5391581</v>
      </c>
      <c r="K33" s="321">
        <f>SUM(K25:K32)</f>
        <v>5231661</v>
      </c>
      <c r="L33" s="220">
        <f t="shared" si="3"/>
        <v>-0.03</v>
      </c>
    </row>
    <row r="34" spans="1:14" ht="12" customHeight="1">
      <c r="A34" s="312"/>
      <c r="B34" s="126" t="s">
        <v>95</v>
      </c>
      <c r="D34" s="315">
        <f>SP1000P200F5000CY</f>
        <v>0</v>
      </c>
      <c r="E34" s="315">
        <f>SP1000P200F5000</f>
        <v>0</v>
      </c>
      <c r="F34" s="316" t="str">
        <f t="shared" si="2"/>
        <v xml:space="preserve"> </v>
      </c>
    </row>
    <row r="35" spans="1:14" ht="12" customHeight="1">
      <c r="A35" s="312"/>
      <c r="B35" s="126" t="s">
        <v>248</v>
      </c>
      <c r="C35" s="325"/>
      <c r="D35" s="329">
        <f>SUM(D23:D34)</f>
        <v>383435</v>
      </c>
      <c r="E35" s="329">
        <f>SUM(E23:E34)</f>
        <v>383437</v>
      </c>
      <c r="F35" s="316">
        <f t="shared" si="2"/>
        <v>0</v>
      </c>
      <c r="H35" s="523" t="s">
        <v>249</v>
      </c>
      <c r="I35" s="523"/>
      <c r="J35" s="523"/>
      <c r="K35" s="523"/>
      <c r="L35" s="523"/>
      <c r="M35" s="510" t="str">
        <f>IF(L37&lt;1,"Enter average salary on the budget Cover","")</f>
        <v/>
      </c>
      <c r="N35" s="339"/>
    </row>
    <row r="36" spans="1:14" ht="0.75" customHeight="1">
      <c r="A36" s="332" t="s">
        <v>250</v>
      </c>
      <c r="B36" s="333"/>
      <c r="C36" s="328"/>
      <c r="D36" s="315"/>
      <c r="E36" s="315"/>
      <c r="F36" s="212"/>
      <c r="J36" s="340"/>
      <c r="K36" s="340"/>
      <c r="L36" s="340"/>
      <c r="M36" s="510"/>
      <c r="N36" s="339"/>
    </row>
    <row r="37" spans="1:14" ht="12" customHeight="1">
      <c r="A37" s="337" t="s">
        <v>103</v>
      </c>
      <c r="B37" s="338"/>
      <c r="C37" s="341"/>
      <c r="D37" s="321">
        <f>SP1000P400CY</f>
        <v>22256</v>
      </c>
      <c r="E37" s="321">
        <f>SP1000P400</f>
        <v>25600</v>
      </c>
      <c r="F37" s="220">
        <f t="shared" si="2"/>
        <v>0.15</v>
      </c>
      <c r="H37" s="507" t="s">
        <v>492</v>
      </c>
      <c r="I37" s="507"/>
      <c r="J37" s="507"/>
      <c r="K37" s="507"/>
      <c r="L37" s="214">
        <f>BudgetYearSalary</f>
        <v>40315</v>
      </c>
      <c r="M37" s="510"/>
      <c r="N37" s="339"/>
    </row>
    <row r="38" spans="1:14" ht="12" customHeight="1">
      <c r="A38" s="337" t="s">
        <v>104</v>
      </c>
      <c r="B38" s="338"/>
      <c r="C38" s="341"/>
      <c r="D38" s="321">
        <f>SP1000P530CY</f>
        <v>0</v>
      </c>
      <c r="E38" s="321">
        <f>SP1000P530</f>
        <v>0</v>
      </c>
      <c r="F38" s="220" t="str">
        <f t="shared" si="2"/>
        <v xml:space="preserve"> </v>
      </c>
      <c r="H38" s="507" t="s">
        <v>493</v>
      </c>
      <c r="I38" s="507"/>
      <c r="J38" s="507"/>
      <c r="K38" s="507"/>
      <c r="L38" s="214">
        <f>PriorYearSalary</f>
        <v>40821</v>
      </c>
      <c r="M38" s="510"/>
      <c r="N38" s="339"/>
    </row>
    <row r="39" spans="1:14" ht="12" customHeight="1">
      <c r="A39" s="337" t="s">
        <v>251</v>
      </c>
      <c r="B39" s="338"/>
      <c r="C39" s="341"/>
      <c r="D39" s="321">
        <f>SP1000P540CY</f>
        <v>0</v>
      </c>
      <c r="E39" s="321">
        <f>SP1000P540</f>
        <v>0</v>
      </c>
      <c r="F39" s="220" t="str">
        <f t="shared" si="2"/>
        <v xml:space="preserve"> </v>
      </c>
      <c r="H39" s="507" t="s">
        <v>494</v>
      </c>
      <c r="I39" s="507"/>
      <c r="J39" s="507"/>
      <c r="K39" s="507"/>
      <c r="L39" s="214">
        <f>SalaryIncreaseFromPriorYear</f>
        <v>-506</v>
      </c>
      <c r="M39" s="510"/>
      <c r="N39" s="339"/>
    </row>
    <row r="40" spans="1:14" ht="12" customHeight="1">
      <c r="A40" s="332" t="s">
        <v>106</v>
      </c>
      <c r="B40" s="333"/>
      <c r="C40" s="328"/>
      <c r="D40" s="321">
        <f>SP1000P550CY</f>
        <v>44673</v>
      </c>
      <c r="E40" s="321">
        <f>SP1000P550</f>
        <v>29455</v>
      </c>
      <c r="F40" s="220">
        <f t="shared" si="2"/>
        <v>-0.34100000000000003</v>
      </c>
      <c r="H40" s="507" t="s">
        <v>252</v>
      </c>
      <c r="I40" s="507"/>
      <c r="J40" s="507"/>
      <c r="K40" s="507"/>
      <c r="L40" s="305">
        <f>SalaryPercentageIncrease</f>
        <v>-1.2E-2</v>
      </c>
      <c r="M40" s="510"/>
      <c r="N40" s="339"/>
    </row>
    <row r="41" spans="1:14" ht="12" customHeight="1">
      <c r="A41" s="332"/>
      <c r="B41" s="333"/>
      <c r="C41" s="328" t="s">
        <v>237</v>
      </c>
      <c r="D41" s="315">
        <f>SUM(D35:D40)+D21</f>
        <v>4435331</v>
      </c>
      <c r="E41" s="315">
        <f>SUM(E35:E40)+E21</f>
        <v>4340625</v>
      </c>
      <c r="F41" s="220">
        <f t="shared" si="2"/>
        <v>-2.1000000000000001E-2</v>
      </c>
      <c r="H41" s="511" t="str">
        <f>IF(AverageSalaryCalculationComment&lt;&gt;"",AverageSalaryCalculationComment,"")</f>
        <v>Comments on average salary calculation (optional):  Salaries do not include stipends or performance pay.</v>
      </c>
      <c r="I41" s="512"/>
      <c r="J41" s="512"/>
      <c r="K41" s="512"/>
      <c r="L41" s="513"/>
      <c r="M41" s="510"/>
    </row>
    <row r="42" spans="1:14" ht="12" customHeight="1">
      <c r="D42" s="331"/>
      <c r="E42" s="331"/>
      <c r="F42" s="222"/>
      <c r="H42" s="514"/>
      <c r="I42" s="515"/>
      <c r="J42" s="515"/>
      <c r="K42" s="515"/>
      <c r="L42" s="516"/>
      <c r="M42" s="510"/>
    </row>
    <row r="43" spans="1:14" ht="12" customHeight="1">
      <c r="H43" s="514"/>
      <c r="I43" s="515"/>
      <c r="J43" s="515"/>
      <c r="K43" s="515"/>
      <c r="L43" s="516"/>
      <c r="M43" s="510"/>
    </row>
    <row r="44" spans="1:14" ht="12" customHeight="1">
      <c r="H44" s="514"/>
      <c r="I44" s="515"/>
      <c r="J44" s="515"/>
      <c r="K44" s="515"/>
      <c r="L44" s="516"/>
      <c r="M44" s="510"/>
    </row>
    <row r="45" spans="1:14" ht="12" customHeight="1">
      <c r="H45" s="514"/>
      <c r="I45" s="515"/>
      <c r="J45" s="515"/>
      <c r="K45" s="515"/>
      <c r="L45" s="516"/>
      <c r="M45" s="510"/>
    </row>
    <row r="46" spans="1:14" ht="12" customHeight="1">
      <c r="H46" s="514"/>
      <c r="I46" s="515"/>
      <c r="J46" s="515"/>
      <c r="K46" s="515"/>
      <c r="L46" s="516"/>
      <c r="M46" s="342"/>
    </row>
    <row r="47" spans="1:14" ht="12" customHeight="1">
      <c r="H47" s="517"/>
      <c r="I47" s="518"/>
      <c r="J47" s="518"/>
      <c r="K47" s="518"/>
      <c r="L47" s="519"/>
      <c r="M47" s="342"/>
    </row>
    <row r="48" spans="1:14" ht="12.75" customHeight="1"/>
    <row r="49" spans="8:8" ht="12.75" customHeight="1"/>
    <row r="50" spans="8:8" ht="12.75" customHeight="1"/>
    <row r="51" spans="8:8" ht="12.75" customHeight="1"/>
    <row r="52" spans="8:8" ht="12.75" customHeight="1"/>
    <row r="53" spans="8:8" ht="12.75" customHeight="1">
      <c r="H53" s="343"/>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scale="76" orientation="landscape" r:id="rId1"/>
  <headerFooter>
    <oddFooter>&amp;L&amp;"Arial,Bold"Rev.5/25 Arizona Department of Education and Auditor General&amp;R&amp;"Arial,Bold"Budget Summary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H35"/>
  <sheetViews>
    <sheetView showGridLines="0" zoomScaleNormal="100" workbookViewId="0">
      <selection activeCell="C13" sqref="C13"/>
    </sheetView>
  </sheetViews>
  <sheetFormatPr defaultColWidth="8" defaultRowHeight="12.5"/>
  <cols>
    <col min="1" max="1" width="13.54296875" customWidth="1"/>
    <col min="2" max="2" width="107.453125" customWidth="1"/>
    <col min="3" max="5" width="15.54296875" customWidth="1"/>
    <col min="6" max="6" width="19.453125" customWidth="1"/>
    <col min="7" max="7" width="15.54296875" customWidth="1"/>
    <col min="8" max="8" width="17.54296875" customWidth="1"/>
    <col min="9" max="9" width="8" customWidth="1"/>
  </cols>
  <sheetData>
    <row r="1" spans="1:8" s="415" customFormat="1" ht="13">
      <c r="A1" s="414" t="s">
        <v>0</v>
      </c>
      <c r="B1" s="435" t="str">
        <f>CharterName</f>
        <v>Tucson International Academy</v>
      </c>
      <c r="D1" s="414" t="s">
        <v>1</v>
      </c>
      <c r="E1" s="436" t="str">
        <f>Cover!M1</f>
        <v>Pima</v>
      </c>
      <c r="F1" s="416"/>
      <c r="G1" s="414" t="s">
        <v>2</v>
      </c>
      <c r="H1" s="417" t="str">
        <f>CTD</f>
        <v>108714000</v>
      </c>
    </row>
    <row r="2" spans="1:8" s="415" customFormat="1" ht="13">
      <c r="B2" s="414"/>
      <c r="C2" s="418"/>
      <c r="D2" s="418"/>
      <c r="E2" s="418"/>
      <c r="G2" s="414"/>
      <c r="H2" s="418"/>
    </row>
    <row r="3" spans="1:8" s="419" customFormat="1" ht="25.5" customHeight="1">
      <c r="A3" s="538" t="s">
        <v>505</v>
      </c>
      <c r="B3" s="538"/>
      <c r="C3" s="538"/>
      <c r="D3" s="538"/>
      <c r="E3" s="538"/>
      <c r="F3" s="538"/>
      <c r="G3" s="538"/>
      <c r="H3" s="538"/>
    </row>
    <row r="4" spans="1:8" s="419" customFormat="1" ht="16.5" customHeight="1">
      <c r="A4" s="420"/>
      <c r="B4" s="420"/>
      <c r="C4" s="420"/>
      <c r="D4" s="420"/>
      <c r="E4" s="420"/>
      <c r="F4" s="420"/>
      <c r="G4" s="420"/>
      <c r="H4" s="420"/>
    </row>
    <row r="5" spans="1:8" ht="13">
      <c r="A5" s="539" t="s">
        <v>495</v>
      </c>
      <c r="B5" s="539"/>
      <c r="C5" s="344"/>
    </row>
    <row r="6" spans="1:8" ht="13">
      <c r="A6" s="344"/>
      <c r="B6" s="344"/>
      <c r="C6" s="421" t="s">
        <v>253</v>
      </c>
    </row>
    <row r="7" spans="1:8" ht="8.25" customHeight="1">
      <c r="A7" s="422"/>
      <c r="B7" s="344"/>
      <c r="C7" s="423"/>
    </row>
    <row r="8" spans="1:8">
      <c r="A8" s="424" t="s">
        <v>5</v>
      </c>
      <c r="B8" s="244" t="s">
        <v>496</v>
      </c>
      <c r="C8" s="425">
        <v>1225155</v>
      </c>
    </row>
    <row r="9" spans="1:8" ht="15" customHeight="1">
      <c r="A9" s="426"/>
      <c r="B9" s="448" t="s">
        <v>506</v>
      </c>
      <c r="C9" s="428"/>
    </row>
    <row r="10" spans="1:8" ht="13">
      <c r="A10" s="429"/>
      <c r="B10" s="344"/>
      <c r="C10" s="423"/>
    </row>
    <row r="11" spans="1:8" ht="13">
      <c r="A11" s="424" t="s">
        <v>8</v>
      </c>
      <c r="B11" s="161" t="s">
        <v>504</v>
      </c>
      <c r="C11" s="344"/>
    </row>
    <row r="12" spans="1:8">
      <c r="A12" s="424"/>
      <c r="B12" s="244" t="s">
        <v>497</v>
      </c>
      <c r="C12" s="425">
        <v>5454611</v>
      </c>
    </row>
    <row r="13" spans="1:8">
      <c r="A13" s="424"/>
      <c r="B13" s="244" t="s">
        <v>498</v>
      </c>
      <c r="C13" s="425">
        <v>5381081</v>
      </c>
    </row>
    <row r="14" spans="1:8">
      <c r="A14" s="424"/>
      <c r="B14" s="427"/>
      <c r="C14" s="430"/>
    </row>
    <row r="15" spans="1:8" ht="13">
      <c r="A15" s="424" t="s">
        <v>149</v>
      </c>
      <c r="B15" s="161" t="s">
        <v>503</v>
      </c>
      <c r="C15" s="431">
        <f>C8+C12-C13</f>
        <v>1298685</v>
      </c>
    </row>
    <row r="16" spans="1:8">
      <c r="A16" s="432"/>
      <c r="B16" s="443" t="s">
        <v>463</v>
      </c>
      <c r="C16" s="425">
        <v>0</v>
      </c>
    </row>
    <row r="17" spans="1:8">
      <c r="A17" s="432"/>
      <c r="B17" s="443" t="s">
        <v>464</v>
      </c>
      <c r="C17" s="425">
        <v>1298685</v>
      </c>
    </row>
    <row r="18" spans="1:8">
      <c r="A18" s="432"/>
      <c r="B18" t="s">
        <v>255</v>
      </c>
      <c r="C18" s="431">
        <f>C16+C17</f>
        <v>1298685</v>
      </c>
    </row>
    <row r="19" spans="1:8" ht="13">
      <c r="A19" s="424"/>
      <c r="B19" s="422"/>
      <c r="C19" s="433"/>
    </row>
    <row r="20" spans="1:8" ht="13">
      <c r="A20" s="424" t="s">
        <v>152</v>
      </c>
      <c r="B20" s="161" t="s">
        <v>502</v>
      </c>
      <c r="C20" s="433"/>
    </row>
    <row r="21" spans="1:8">
      <c r="A21" s="424"/>
      <c r="B21" s="443" t="s">
        <v>256</v>
      </c>
      <c r="C21" s="425">
        <v>0</v>
      </c>
    </row>
    <row r="22" spans="1:8">
      <c r="A22" s="424"/>
      <c r="B22" s="447" t="s">
        <v>499</v>
      </c>
      <c r="C22" s="425">
        <v>0</v>
      </c>
    </row>
    <row r="23" spans="1:8">
      <c r="A23" s="424"/>
      <c r="B23" s="447" t="s">
        <v>500</v>
      </c>
      <c r="C23" s="425">
        <v>0</v>
      </c>
    </row>
    <row r="24" spans="1:8">
      <c r="A24" s="424"/>
      <c r="B24" s="244" t="s">
        <v>501</v>
      </c>
      <c r="C24" s="425">
        <v>1298685</v>
      </c>
    </row>
    <row r="25" spans="1:8">
      <c r="A25" s="434"/>
      <c r="B25" s="344" t="s">
        <v>466</v>
      </c>
      <c r="C25" s="431">
        <f>SUM(C21:C24)</f>
        <v>1298685</v>
      </c>
    </row>
    <row r="26" spans="1:8">
      <c r="A26" s="432"/>
      <c r="B26" s="344"/>
    </row>
    <row r="27" spans="1:8">
      <c r="A27" s="432"/>
      <c r="B27" s="344"/>
      <c r="C27" s="344"/>
    </row>
    <row r="28" spans="1:8" ht="14.25" customHeight="1">
      <c r="A28" s="424" t="s">
        <v>155</v>
      </c>
      <c r="B28" s="443" t="s">
        <v>257</v>
      </c>
      <c r="C28" s="344"/>
      <c r="D28" s="397"/>
      <c r="E28" s="397"/>
      <c r="F28" s="397"/>
      <c r="G28" s="397"/>
      <c r="H28" s="397"/>
    </row>
    <row r="29" spans="1:8">
      <c r="A29" s="540"/>
      <c r="B29" s="541"/>
      <c r="C29" s="542"/>
    </row>
    <row r="30" spans="1:8">
      <c r="A30" s="543"/>
      <c r="B30" s="544"/>
      <c r="C30" s="545"/>
    </row>
    <row r="31" spans="1:8">
      <c r="A31" s="543"/>
      <c r="B31" s="544"/>
      <c r="C31" s="545"/>
    </row>
    <row r="32" spans="1:8">
      <c r="A32" s="543"/>
      <c r="B32" s="544"/>
      <c r="C32" s="545"/>
    </row>
    <row r="33" spans="1:3">
      <c r="A33" s="543"/>
      <c r="B33" s="544"/>
      <c r="C33" s="545"/>
    </row>
    <row r="34" spans="1:3">
      <c r="A34" s="543"/>
      <c r="B34" s="544"/>
      <c r="C34" s="545"/>
    </row>
    <row r="35" spans="1:3">
      <c r="A35" s="546"/>
      <c r="B35" s="547"/>
      <c r="C35" s="548"/>
    </row>
  </sheetData>
  <sheetProtection sheet="1" objects="1" scenarios="1"/>
  <mergeCells count="3">
    <mergeCell ref="A3:H3"/>
    <mergeCell ref="A5:B5"/>
    <mergeCell ref="A29:C35"/>
  </mergeCells>
  <conditionalFormatting sqref="A29">
    <cfRule type="containsBlanks" dxfId="5" priority="5">
      <formula>LEN(TRIM(A29))=0</formula>
    </cfRule>
  </conditionalFormatting>
  <conditionalFormatting sqref="C8">
    <cfRule type="containsBlanks" dxfId="4" priority="7">
      <formula>LEN(TRIM(C8))=0</formula>
    </cfRule>
  </conditionalFormatting>
  <conditionalFormatting sqref="C12:C13">
    <cfRule type="containsBlanks" dxfId="3" priority="6">
      <formula>LEN(TRIM(C12))=0</formula>
    </cfRule>
  </conditionalFormatting>
  <conditionalFormatting sqref="C16:C17">
    <cfRule type="containsBlanks" dxfId="2" priority="1">
      <formula>LEN(TRIM(C16))=0</formula>
    </cfRule>
  </conditionalFormatting>
  <conditionalFormatting sqref="C21:C24">
    <cfRule type="containsBlanks" dxfId="1" priority="8">
      <formula>LEN(TRIM(C21))=0</formula>
    </cfRule>
  </conditionalFormatting>
  <dataValidations count="2">
    <dataValidation type="textLength" operator="equal" allowBlank="1" showInputMessage="1" showErrorMessage="1" promptTitle="CTD Number" prompt="This cell will only accept a CTD number of exactly 9 digits.  Enter 000 at the end of the charter number to fill the places of a school number." sqref="PU1:PU2 ZQ1:ZQ2 AJM1:AJM2 ATI1:ATI2 BDE1:BDE2 BNA1:BNA2 BWW1:BWW2 CGS1:CGS2 CQO1:CQO2 DAK1:DAK2 DKG1:DKG2 DUC1:DUC2 EDY1:EDY2 ENU1:ENU2 EXQ1:EXQ2 FHM1:FHM2 FRI1:FRI2 GBE1:GBE2 GLA1:GLA2 GUW1:GUW2 HES1:HES2 HOO1:HOO2 HYK1:HYK2 IIG1:IIG2 ISC1:ISC2 JBY1:JBY2 JLU1:JLU2 JVQ1:JVQ2 KFM1:KFM2 KPI1:KPI2 KZE1:KZE2 LJA1:LJA2 LSW1:LSW2 MCS1:MCS2 MMO1:MMO2 MWK1:MWK2 NGG1:NGG2 NQC1:NQC2 NZY1:NZY2 OJU1:OJU2 OTQ1:OTQ2 PDM1:PDM2 PNI1:PNI2 PXE1:PXE2 QHA1:QHA2 QQW1:QQW2 RAS1:RAS2 RKO1:RKO2 RUK1:RUK2 SEG1:SEG2 SOC1:SOC2 SXY1:SXY2 THU1:THU2 TRQ1:TRQ2 UBM1:UBM2 ULI1:ULI2 UVE1:UVE2 VFA1:VFA2 VOW1:VOW2 VYS1:VYS2 WIO1:WIO2 WSK1:WSK2 FY1:FY2" xr:uid="{00000000-0002-0000-0600-000000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FY3:FY4 PU3:PU4 ZQ3:ZQ4 AJM3:AJM4 ATI3:ATI4 BDE3:BDE4 BNA3:BNA4 BWW3:BWW4 CGS3:CGS4 CQO3:CQO4 DAK3:DAK4 DKG3:DKG4 DUC3:DUC4 EDY3:EDY4 ENU3:ENU4 EXQ3:EXQ4 FHM3:FHM4 FRI3:FRI4 GBE3:GBE4 GLA3:GLA4 GUW3:GUW4 HES3:HES4 HOO3:HOO4 HYK3:HYK4 IIG3:IIG4 ISC3:ISC4 JBY3:JBY4 JLU3:JLU4 JVQ3:JVQ4 KFM3:KFM4 KPI3:KPI4 KZE3:KZE4 LJA3:LJA4 LSW3:LSW4 MCS3:MCS4 MMO3:MMO4 MWK3:MWK4 NGG3:NGG4 NQC3:NQC4 NZY3:NZY4 OJU3:OJU4 OTQ3:OTQ4 PDM3:PDM4 PNI3:PNI4 PXE3:PXE4 QHA3:QHA4 QQW3:QQW4 RAS3:RAS4 RKO3:RKO4 RUK3:RUK4 SEG3:SEG4 SOC3:SOC4 SXY3:SXY4 THU3:THU4 TRQ3:TRQ4 UBM3:UBM4 ULI3:ULI4 UVE3:UVE4 VFA3:VFA4 VOW3:VOW4 VYS3:VYS4 WIO3:WIO4 WSK3:WSK4" xr:uid="{00000000-0002-0000-0600-000001000000}">
      <formula1>9</formula1>
    </dataValidation>
  </dataValidations>
  <hyperlinks>
    <hyperlink ref="B8" location="ProjectBalancesLine1" display="FY 2024 final ending project balance" xr:uid="{00000000-0004-0000-0600-000000000000}"/>
    <hyperlink ref="B12" location="ProjectBalancesLine2a" display="(a) FY 2025 revenues" xr:uid="{00000000-0004-0000-0600-000001000000}"/>
    <hyperlink ref="B13" location="ProjectBalancesLine2b" display="(b) FY 2025 expenses, indirect costs, reversions, capital acquisitions, and redemption of principal" xr:uid="{00000000-0004-0000-0600-000002000000}"/>
    <hyperlink ref="B16" location="ProjectBalancesLine3a" display="(a) With donor restrictions/Restricted" xr:uid="{00000000-0004-0000-0600-000003000000}"/>
    <hyperlink ref="B17" location="ProjectBalancesLine3b" display="(b) Without donor restrictions/Unrestricted" xr:uid="{00000000-0004-0000-0600-000004000000}"/>
    <hyperlink ref="B21" location="ProjectBalancesLine4a" display="(a) Deficit balance" xr:uid="{00000000-0004-0000-0600-000005000000}"/>
    <hyperlink ref="B22" location="ProjectBalancesLine4b" display="(b) Planned to be spent in FY 2026 " xr:uid="{00000000-0004-0000-0600-000006000000}"/>
    <hyperlink ref="B23" location="ProjectBalancesLine4c" display="(c) Planned to be spent in FY 2026 to support operations of other school sites within the same charter management organization" xr:uid="{00000000-0004-0000-0600-000007000000}"/>
    <hyperlink ref="B24" location="ProjectBalancesLine4d" display="(d) Maintained for spending after FY 2026" xr:uid="{00000000-0004-0000-0600-000008000000}"/>
    <hyperlink ref="B28" location="ProjectBalancesLine5" display="Comments (optional)" xr:uid="{00000000-0004-0000-0600-000009000000}"/>
  </hyperlinks>
  <pageMargins left="0.7" right="0.7" top="0.75" bottom="0.75" header="0.3" footer="0.3"/>
  <pageSetup scale="54" orientation="landscape" r:id="rId1"/>
  <headerFooter>
    <oddFooter>&amp;LRev. 5/25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26"/>
  <sheetViews>
    <sheetView showGridLines="0" zoomScaleNormal="100" workbookViewId="0">
      <selection activeCell="M58" sqref="M58"/>
    </sheetView>
  </sheetViews>
  <sheetFormatPr defaultColWidth="9" defaultRowHeight="12.5"/>
  <cols>
    <col min="1" max="1" width="3.453125" customWidth="1"/>
    <col min="2" max="2" width="3.81640625" customWidth="1"/>
    <col min="3" max="3" width="5.453125" customWidth="1"/>
    <col min="4" max="4" width="6.453125" customWidth="1"/>
    <col min="5" max="5" width="31" customWidth="1"/>
    <col min="6" max="6" width="1.54296875" customWidth="1"/>
    <col min="7" max="7" width="12.54296875" customWidth="1"/>
    <col min="8" max="8" width="1.54296875" customWidth="1"/>
    <col min="9" max="10" width="12.54296875" customWidth="1"/>
    <col min="11" max="11" width="1.54296875" customWidth="1"/>
    <col min="12" max="12" width="10.54296875" customWidth="1"/>
    <col min="13" max="15" width="12.54296875" customWidth="1"/>
    <col min="16" max="19" width="10.54296875" customWidth="1"/>
    <col min="20" max="20" width="9" customWidth="1"/>
  </cols>
  <sheetData>
    <row r="1" spans="1:16">
      <c r="A1" t="s">
        <v>0</v>
      </c>
      <c r="B1" s="344"/>
      <c r="C1" s="344"/>
      <c r="D1" s="344"/>
      <c r="E1" s="345" t="str">
        <f>CharterName</f>
        <v>Tucson International Academy</v>
      </c>
      <c r="F1" s="346"/>
      <c r="G1" s="6"/>
      <c r="I1" s="6"/>
      <c r="K1" s="409" t="s">
        <v>1</v>
      </c>
      <c r="L1" s="410" t="str">
        <f>Cover!M1</f>
        <v>Pima</v>
      </c>
      <c r="M1" s="398"/>
      <c r="N1" s="5"/>
      <c r="O1" s="409" t="s">
        <v>2</v>
      </c>
      <c r="P1" s="399" t="str">
        <f>CTD</f>
        <v>108714000</v>
      </c>
    </row>
    <row r="2" spans="1:16" ht="24.75" customHeight="1"/>
    <row r="4" spans="1:16" ht="15.5">
      <c r="A4" s="576" t="s">
        <v>470</v>
      </c>
      <c r="B4" s="576"/>
      <c r="C4" s="576"/>
      <c r="D4" s="576"/>
      <c r="E4" s="576"/>
      <c r="F4" s="576"/>
      <c r="G4" s="576"/>
      <c r="H4" s="576"/>
      <c r="I4" s="576"/>
      <c r="J4" s="576"/>
      <c r="K4" s="576"/>
      <c r="L4" s="576"/>
      <c r="M4" s="576"/>
      <c r="N4" s="576"/>
    </row>
    <row r="5" spans="1:16">
      <c r="A5" s="577"/>
      <c r="B5" s="577"/>
      <c r="C5" s="577"/>
      <c r="E5" s="488" t="s">
        <v>41</v>
      </c>
      <c r="F5" s="488"/>
      <c r="G5" s="488"/>
    </row>
    <row r="6" spans="1:16">
      <c r="B6" s="145" t="s">
        <v>5</v>
      </c>
      <c r="C6" s="578" t="s">
        <v>43</v>
      </c>
      <c r="D6" s="578"/>
      <c r="E6" s="579"/>
      <c r="F6" s="580" t="s">
        <v>54</v>
      </c>
      <c r="G6" s="581"/>
      <c r="H6" s="581"/>
      <c r="I6" s="582"/>
    </row>
    <row r="8" spans="1:16">
      <c r="B8" s="145" t="s">
        <v>8</v>
      </c>
      <c r="C8" s="469" t="s">
        <v>46</v>
      </c>
      <c r="D8" s="469"/>
      <c r="E8" s="550"/>
      <c r="F8" s="556" t="s">
        <v>544</v>
      </c>
      <c r="G8" s="556"/>
      <c r="H8" s="556"/>
      <c r="I8" s="556"/>
    </row>
    <row r="10" spans="1:16">
      <c r="B10" s="145" t="s">
        <v>149</v>
      </c>
      <c r="C10" s="584" t="s">
        <v>49</v>
      </c>
      <c r="D10" s="584"/>
      <c r="E10" s="585"/>
      <c r="F10" s="583" t="s">
        <v>38</v>
      </c>
      <c r="G10" s="583"/>
      <c r="H10" s="583"/>
      <c r="I10" s="583"/>
    </row>
    <row r="11" spans="1:16">
      <c r="C11" s="584"/>
      <c r="D11" s="584"/>
      <c r="E11" s="585"/>
      <c r="F11" s="583"/>
      <c r="G11" s="583"/>
      <c r="H11" s="583"/>
      <c r="I11" s="583"/>
    </row>
    <row r="12" spans="1:16">
      <c r="C12" s="444"/>
      <c r="D12" s="444"/>
      <c r="E12" s="444"/>
    </row>
    <row r="13" spans="1:16" ht="206.25" customHeight="1">
      <c r="B13" s="445" t="s">
        <v>152</v>
      </c>
      <c r="C13" s="549" t="s">
        <v>469</v>
      </c>
      <c r="D13" s="549"/>
      <c r="E13" s="549"/>
      <c r="F13" s="549"/>
      <c r="G13" s="549"/>
      <c r="H13" s="549"/>
      <c r="I13" s="549"/>
      <c r="J13" s="549"/>
    </row>
    <row r="15" spans="1:16">
      <c r="B15" t="s">
        <v>532</v>
      </c>
      <c r="C15" s="469" t="s">
        <v>56</v>
      </c>
      <c r="D15" s="469"/>
      <c r="E15" s="550"/>
      <c r="F15" s="557" t="s">
        <v>461</v>
      </c>
      <c r="G15" s="558"/>
      <c r="H15" s="558"/>
      <c r="I15" s="559"/>
    </row>
    <row r="16" spans="1:16">
      <c r="C16" s="469" t="s">
        <v>58</v>
      </c>
      <c r="D16" s="469"/>
      <c r="E16" s="469"/>
    </row>
    <row r="17" spans="1:29">
      <c r="B17" s="145" t="s">
        <v>533</v>
      </c>
      <c r="C17" s="469" t="s">
        <v>60</v>
      </c>
      <c r="D17" s="469"/>
      <c r="E17" s="550"/>
      <c r="F17" s="557" t="s">
        <v>545</v>
      </c>
      <c r="G17" s="558"/>
      <c r="H17" s="558"/>
      <c r="I17" s="559"/>
    </row>
    <row r="18" spans="1:29">
      <c r="B18" s="145" t="s">
        <v>534</v>
      </c>
      <c r="C18" s="469" t="s">
        <v>61</v>
      </c>
      <c r="D18" s="469"/>
      <c r="E18" s="550"/>
      <c r="F18" s="556" t="s">
        <v>546</v>
      </c>
      <c r="G18" s="556"/>
      <c r="H18" s="556"/>
      <c r="I18" s="556"/>
    </row>
    <row r="19" spans="1:29">
      <c r="B19" s="145" t="s">
        <v>535</v>
      </c>
      <c r="C19" s="469" t="s">
        <v>62</v>
      </c>
      <c r="D19" s="469"/>
      <c r="E19" s="550"/>
      <c r="F19" s="557" t="s">
        <v>547</v>
      </c>
      <c r="G19" s="558"/>
      <c r="H19" s="558"/>
      <c r="I19" s="559"/>
    </row>
    <row r="20" spans="1:29">
      <c r="B20" s="145" t="s">
        <v>536</v>
      </c>
      <c r="C20" s="469" t="s">
        <v>63</v>
      </c>
      <c r="D20" s="469"/>
      <c r="E20" s="550"/>
      <c r="F20" s="557"/>
      <c r="G20" s="558"/>
      <c r="H20" s="558"/>
      <c r="I20" s="559"/>
    </row>
    <row r="21" spans="1:29">
      <c r="B21" s="145" t="s">
        <v>537</v>
      </c>
      <c r="C21" s="469" t="s">
        <v>64</v>
      </c>
      <c r="D21" s="469"/>
      <c r="E21" s="550"/>
      <c r="F21" s="557" t="s">
        <v>548</v>
      </c>
      <c r="G21" s="558"/>
      <c r="H21" s="558"/>
      <c r="I21" s="559"/>
    </row>
    <row r="22" spans="1:29">
      <c r="B22" s="145" t="s">
        <v>538</v>
      </c>
      <c r="C22" s="469" t="s">
        <v>14</v>
      </c>
      <c r="D22" s="469"/>
      <c r="E22" s="550"/>
      <c r="F22" s="557" t="s">
        <v>549</v>
      </c>
      <c r="G22" s="558"/>
      <c r="H22" s="558"/>
      <c r="I22" s="559"/>
    </row>
    <row r="23" spans="1:29">
      <c r="B23" s="145" t="s">
        <v>539</v>
      </c>
      <c r="C23" s="469" t="s">
        <v>65</v>
      </c>
      <c r="D23" s="469"/>
      <c r="E23" s="550"/>
      <c r="F23" s="556">
        <v>85745</v>
      </c>
      <c r="G23" s="556"/>
      <c r="H23" s="556"/>
      <c r="I23" s="556"/>
    </row>
    <row r="25" spans="1:29" ht="15.5">
      <c r="A25" s="347" t="s">
        <v>258</v>
      </c>
      <c r="C25" s="175"/>
      <c r="D25" s="230"/>
      <c r="E25" s="94"/>
      <c r="F25" s="94"/>
      <c r="Q25" s="465"/>
      <c r="R25" s="465"/>
      <c r="S25" s="465"/>
      <c r="T25" s="465"/>
      <c r="U25" s="465"/>
      <c r="V25" s="465"/>
      <c r="W25" s="465"/>
      <c r="X25" s="465"/>
      <c r="Y25" s="465"/>
      <c r="Z25" s="465"/>
      <c r="AA25" s="465"/>
      <c r="AB25" s="465"/>
      <c r="AC25" s="465"/>
    </row>
    <row r="27" spans="1:29" s="146" customFormat="1" ht="114" customHeight="1">
      <c r="A27" s="348" t="str">
        <f>IF(B29="X","X",IF(B30="x","x",IF(B31="X","X",IF(B32="X","X",""))))</f>
        <v/>
      </c>
      <c r="B27" s="549" t="s">
        <v>259</v>
      </c>
      <c r="C27" s="549"/>
      <c r="D27" s="549"/>
      <c r="E27" s="549"/>
      <c r="F27" s="549"/>
      <c r="G27" s="549"/>
      <c r="H27" s="549"/>
      <c r="I27" s="549"/>
      <c r="J27" s="549"/>
      <c r="K27" s="549"/>
      <c r="L27" s="549"/>
      <c r="M27" s="549"/>
      <c r="N27" s="549"/>
      <c r="O27" s="349"/>
    </row>
    <row r="28" spans="1:29" ht="13">
      <c r="J28" s="192"/>
      <c r="K28" s="192"/>
      <c r="L28" s="192"/>
      <c r="M28" s="523" t="s">
        <v>260</v>
      </c>
      <c r="N28" s="523"/>
    </row>
    <row r="29" spans="1:29" ht="38.25" customHeight="1">
      <c r="A29" s="230"/>
      <c r="B29" s="27"/>
      <c r="D29" s="562" t="s">
        <v>262</v>
      </c>
      <c r="E29" s="562"/>
      <c r="F29" s="562"/>
      <c r="G29" s="562"/>
      <c r="H29" s="562"/>
      <c r="I29" s="562"/>
      <c r="J29" s="562" t="str">
        <f>IF(B29&lt;&gt;"x","No additional information required","Please enter the name of the management company.")</f>
        <v>No additional information required</v>
      </c>
      <c r="K29" s="562"/>
      <c r="L29" s="562"/>
      <c r="M29" s="565"/>
      <c r="N29" s="565"/>
      <c r="O29" s="400"/>
      <c r="Q29" s="148" t="s">
        <v>261</v>
      </c>
    </row>
    <row r="30" spans="1:29" ht="39" customHeight="1" thickBot="1">
      <c r="A30" s="230"/>
      <c r="B30" s="28"/>
      <c r="D30" s="562" t="s">
        <v>263</v>
      </c>
      <c r="E30" s="562"/>
      <c r="F30" s="562"/>
      <c r="G30" s="562"/>
      <c r="H30" s="562"/>
      <c r="I30" s="562"/>
      <c r="J30" s="562" t="str">
        <f>IF(B30&lt;&gt;"x","No additional information required","Please enter the name of any other charter holder with identical membership.")</f>
        <v>No additional information required</v>
      </c>
      <c r="K30" s="562"/>
      <c r="L30" s="562"/>
      <c r="M30" s="565"/>
      <c r="N30" s="565"/>
      <c r="O30" s="400"/>
      <c r="Q30" s="148" t="s">
        <v>254</v>
      </c>
    </row>
    <row r="31" spans="1:29" ht="27.75" customHeight="1" thickBot="1">
      <c r="A31" s="230"/>
      <c r="B31" s="29"/>
      <c r="D31" s="562" t="s">
        <v>264</v>
      </c>
      <c r="E31" s="562"/>
      <c r="F31" s="562"/>
      <c r="G31" s="562"/>
      <c r="H31" s="562"/>
      <c r="I31" s="562"/>
      <c r="J31" s="562" t="str">
        <f>IF(B31&lt;&gt;"x","No additional information required","Please enter the name of the corporation.")</f>
        <v>No additional information required</v>
      </c>
      <c r="K31" s="562"/>
      <c r="L31" s="562"/>
      <c r="M31" s="565"/>
      <c r="N31" s="565"/>
      <c r="O31" s="400"/>
      <c r="Q31" s="148"/>
    </row>
    <row r="32" spans="1:29" ht="27.75" customHeight="1" thickBot="1">
      <c r="A32" s="230"/>
      <c r="B32" s="29"/>
      <c r="D32" s="596" t="s">
        <v>265</v>
      </c>
      <c r="E32" s="596"/>
      <c r="F32" s="596"/>
      <c r="G32" s="596"/>
      <c r="H32" s="596"/>
      <c r="I32" s="596"/>
      <c r="M32" s="5"/>
      <c r="N32" s="5"/>
      <c r="O32" s="5"/>
    </row>
    <row r="33" spans="1:16" ht="13">
      <c r="A33" s="230"/>
      <c r="B33" s="230"/>
      <c r="C33" s="129"/>
      <c r="D33" s="129"/>
      <c r="E33" s="129"/>
      <c r="F33" s="129"/>
      <c r="G33" s="129"/>
      <c r="H33" s="129"/>
      <c r="I33" s="129"/>
      <c r="J33" s="129"/>
      <c r="K33" s="129"/>
      <c r="L33" s="129"/>
      <c r="M33" s="129"/>
      <c r="N33" s="129"/>
      <c r="O33" s="129"/>
    </row>
    <row r="34" spans="1:16" ht="13">
      <c r="B34" s="94" t="s">
        <v>266</v>
      </c>
      <c r="C34" s="94"/>
      <c r="D34" s="94"/>
      <c r="E34" s="94"/>
    </row>
    <row r="35" spans="1:16" ht="80.25" customHeight="1">
      <c r="B35" s="549" t="s">
        <v>507</v>
      </c>
      <c r="C35" s="549"/>
      <c r="D35" s="549"/>
      <c r="E35" s="549"/>
      <c r="F35" s="549"/>
      <c r="G35" s="549"/>
      <c r="H35" s="549"/>
      <c r="I35" s="549"/>
      <c r="J35" s="549"/>
      <c r="K35" s="549"/>
      <c r="L35" s="549"/>
      <c r="M35" s="549"/>
      <c r="N35" s="549"/>
    </row>
    <row r="36" spans="1:16" ht="13.5" customHeight="1">
      <c r="B36" s="113"/>
      <c r="C36" s="113"/>
      <c r="D36" s="113"/>
      <c r="E36" s="113"/>
      <c r="F36" s="113"/>
      <c r="G36" s="113"/>
      <c r="H36" s="113"/>
      <c r="I36" s="113"/>
      <c r="J36" s="113"/>
      <c r="K36" s="113"/>
      <c r="L36" s="113"/>
      <c r="M36" s="113"/>
      <c r="N36" s="113"/>
    </row>
    <row r="37" spans="1:16">
      <c r="B37" s="552" t="s">
        <v>267</v>
      </c>
      <c r="C37" s="552"/>
      <c r="D37" s="552"/>
      <c r="E37" s="552"/>
      <c r="F37" s="504" t="s">
        <v>268</v>
      </c>
      <c r="G37" s="505"/>
      <c r="H37" s="504" t="s">
        <v>269</v>
      </c>
      <c r="I37" s="551"/>
      <c r="J37" s="505"/>
      <c r="K37" s="593" t="s">
        <v>270</v>
      </c>
      <c r="L37" s="594"/>
      <c r="M37" s="595"/>
    </row>
    <row r="38" spans="1:16">
      <c r="B38" s="553" t="s">
        <v>271</v>
      </c>
      <c r="C38" s="554"/>
      <c r="D38" s="554"/>
      <c r="E38" s="555"/>
      <c r="F38" s="573"/>
      <c r="G38" s="564"/>
      <c r="H38" s="350"/>
      <c r="I38" s="563">
        <v>286</v>
      </c>
      <c r="J38" s="564"/>
      <c r="K38" s="276"/>
      <c r="L38" s="563">
        <v>107</v>
      </c>
      <c r="M38" s="564"/>
      <c r="N38" s="192"/>
    </row>
    <row r="39" spans="1:16">
      <c r="B39" s="570" t="s">
        <v>272</v>
      </c>
      <c r="C39" s="571"/>
      <c r="D39" s="571"/>
      <c r="E39" s="572"/>
      <c r="F39" s="351"/>
      <c r="G39" s="352"/>
      <c r="H39" s="353" t="s">
        <v>273</v>
      </c>
      <c r="I39" s="568"/>
      <c r="J39" s="569"/>
      <c r="K39" s="396" t="s">
        <v>273</v>
      </c>
      <c r="L39" s="566"/>
      <c r="M39" s="567"/>
      <c r="N39" s="192"/>
    </row>
    <row r="40" spans="1:16">
      <c r="B40" s="570" t="s">
        <v>274</v>
      </c>
      <c r="C40" s="571"/>
      <c r="D40" s="571"/>
      <c r="E40" s="572"/>
      <c r="F40" s="351"/>
      <c r="G40" s="352"/>
      <c r="H40" s="353" t="s">
        <v>273</v>
      </c>
      <c r="I40" s="568"/>
      <c r="J40" s="569"/>
      <c r="K40" s="396" t="s">
        <v>273</v>
      </c>
      <c r="L40" s="566"/>
      <c r="M40" s="567"/>
    </row>
    <row r="41" spans="1:16">
      <c r="B41" s="590" t="s">
        <v>275</v>
      </c>
      <c r="C41" s="591"/>
      <c r="D41" s="591"/>
      <c r="E41" s="592"/>
      <c r="F41" s="75" t="s">
        <v>276</v>
      </c>
      <c r="G41" s="354">
        <f>F38</f>
        <v>0</v>
      </c>
      <c r="H41" s="404" t="s">
        <v>276</v>
      </c>
      <c r="I41" s="560">
        <f>I38+I39+I40</f>
        <v>286</v>
      </c>
      <c r="J41" s="561"/>
      <c r="K41" s="75" t="s">
        <v>276</v>
      </c>
      <c r="L41" s="560">
        <f>L38+L39+L40</f>
        <v>107</v>
      </c>
      <c r="M41" s="561"/>
    </row>
    <row r="43" spans="1:16" ht="13">
      <c r="B43" s="94" t="s">
        <v>277</v>
      </c>
    </row>
    <row r="44" spans="1:16" ht="26.25" customHeight="1">
      <c r="B44" s="549" t="s">
        <v>278</v>
      </c>
      <c r="C44" s="549"/>
      <c r="D44" s="549"/>
      <c r="E44" s="549"/>
      <c r="F44" s="549"/>
      <c r="G44" s="549"/>
      <c r="H44" s="549"/>
      <c r="I44" s="549"/>
      <c r="J44" s="549"/>
      <c r="K44" s="549"/>
      <c r="L44" s="549"/>
      <c r="M44" s="549"/>
      <c r="N44" s="549"/>
    </row>
    <row r="45" spans="1:16" ht="13">
      <c r="B45" s="355"/>
      <c r="C45" s="356"/>
      <c r="D45" s="356"/>
      <c r="E45" s="356"/>
      <c r="F45" s="356"/>
      <c r="G45" s="356"/>
      <c r="H45" s="356"/>
      <c r="I45" s="356"/>
      <c r="J45" s="356"/>
      <c r="K45" s="356"/>
      <c r="L45" s="356"/>
      <c r="M45" s="356"/>
    </row>
    <row r="46" spans="1:16">
      <c r="B46" s="403" t="s">
        <v>267</v>
      </c>
      <c r="C46" s="403"/>
      <c r="D46" s="403"/>
      <c r="E46" s="403"/>
      <c r="F46" s="504" t="s">
        <v>268</v>
      </c>
      <c r="G46" s="505"/>
      <c r="H46" s="504" t="s">
        <v>269</v>
      </c>
      <c r="I46" s="551"/>
      <c r="J46" s="505"/>
      <c r="K46" s="593" t="s">
        <v>270</v>
      </c>
      <c r="L46" s="594"/>
      <c r="M46" s="595"/>
    </row>
    <row r="47" spans="1:16">
      <c r="B47" s="404" t="s">
        <v>271</v>
      </c>
      <c r="C47" s="405"/>
      <c r="D47" s="406"/>
      <c r="F47" s="53"/>
      <c r="G47" s="33"/>
      <c r="I47" s="574"/>
      <c r="J47" s="575"/>
      <c r="K47" s="404"/>
      <c r="L47" s="574"/>
      <c r="M47" s="575"/>
      <c r="P47" s="6"/>
    </row>
    <row r="48" spans="1:16">
      <c r="B48" s="75" t="s">
        <v>272</v>
      </c>
      <c r="C48" s="227"/>
      <c r="D48" s="357"/>
      <c r="E48" s="358"/>
      <c r="F48" s="359"/>
      <c r="G48" s="360"/>
      <c r="H48" s="227" t="s">
        <v>273</v>
      </c>
      <c r="I48" s="568"/>
      <c r="J48" s="569"/>
      <c r="K48" s="75" t="s">
        <v>273</v>
      </c>
      <c r="L48" s="566"/>
      <c r="M48" s="567"/>
    </row>
    <row r="49" spans="1:21">
      <c r="B49" s="75" t="s">
        <v>274</v>
      </c>
      <c r="C49" s="227"/>
      <c r="D49" s="227"/>
      <c r="E49" s="361"/>
      <c r="F49" s="359"/>
      <c r="G49" s="360"/>
      <c r="H49" s="227" t="s">
        <v>273</v>
      </c>
      <c r="I49" s="568"/>
      <c r="J49" s="569"/>
      <c r="K49" s="75" t="s">
        <v>273</v>
      </c>
      <c r="L49" s="566"/>
      <c r="M49" s="567"/>
    </row>
    <row r="50" spans="1:21">
      <c r="B50" s="404" t="s">
        <v>275</v>
      </c>
      <c r="C50" s="405"/>
      <c r="D50" s="406"/>
      <c r="E50" s="404"/>
      <c r="F50" s="404" t="s">
        <v>276</v>
      </c>
      <c r="G50" s="354">
        <f>G47</f>
        <v>0</v>
      </c>
      <c r="H50" s="75" t="s">
        <v>276</v>
      </c>
      <c r="I50" s="560">
        <f>I47+I48+I49</f>
        <v>0</v>
      </c>
      <c r="J50" s="561"/>
      <c r="K50" s="75" t="s">
        <v>276</v>
      </c>
      <c r="L50" s="597">
        <f>L47+L48+L49</f>
        <v>0</v>
      </c>
      <c r="M50" s="598"/>
    </row>
    <row r="51" spans="1:21">
      <c r="B51" s="87"/>
    </row>
    <row r="52" spans="1:21">
      <c r="A52" s="362"/>
      <c r="B52" s="362"/>
      <c r="C52" s="363"/>
      <c r="D52" s="363"/>
      <c r="E52" s="364"/>
      <c r="F52" s="364"/>
      <c r="G52" s="363"/>
      <c r="H52" s="363"/>
      <c r="I52" s="365"/>
      <c r="K52" s="365"/>
    </row>
    <row r="53" spans="1:21" ht="15.75" customHeight="1">
      <c r="A53" s="366" t="s">
        <v>279</v>
      </c>
      <c r="C53" s="94"/>
      <c r="D53" s="94"/>
      <c r="E53" s="94"/>
      <c r="G53" s="367"/>
      <c r="H53" s="367"/>
      <c r="I53" s="367"/>
      <c r="J53" s="367"/>
      <c r="K53" s="367"/>
      <c r="L53" s="367"/>
      <c r="M53" s="367"/>
      <c r="N53" s="367"/>
      <c r="O53" s="367"/>
    </row>
    <row r="54" spans="1:21" ht="12.75" customHeight="1">
      <c r="A54" s="366"/>
      <c r="C54" s="94"/>
      <c r="D54" s="94"/>
      <c r="E54" s="94"/>
      <c r="G54" s="367"/>
      <c r="H54" s="367"/>
      <c r="I54" s="367"/>
      <c r="J54" s="367"/>
      <c r="K54" s="367"/>
      <c r="L54" s="367"/>
      <c r="M54" s="367"/>
      <c r="N54" s="367"/>
      <c r="O54" s="367"/>
    </row>
    <row r="55" spans="1:21" ht="12.75" customHeight="1">
      <c r="A55" s="366"/>
      <c r="B55" s="94" t="s">
        <v>280</v>
      </c>
      <c r="C55" s="94"/>
      <c r="D55" s="94"/>
      <c r="E55" s="94"/>
      <c r="G55" s="367"/>
      <c r="H55" s="367"/>
      <c r="I55" s="367"/>
      <c r="J55" s="367"/>
      <c r="K55" s="367"/>
      <c r="L55" s="367"/>
      <c r="M55" s="367"/>
      <c r="N55" s="367"/>
      <c r="O55" s="367"/>
    </row>
    <row r="56" spans="1:21" ht="137.25" customHeight="1">
      <c r="A56" s="94"/>
      <c r="B56" s="549" t="s">
        <v>281</v>
      </c>
      <c r="C56" s="549"/>
      <c r="D56" s="549"/>
      <c r="E56" s="549"/>
      <c r="F56" s="549"/>
      <c r="G56" s="549"/>
      <c r="H56" s="549"/>
      <c r="I56" s="549"/>
      <c r="J56" s="549"/>
      <c r="K56" s="549"/>
      <c r="L56" s="549"/>
      <c r="M56" s="549"/>
      <c r="N56" s="549"/>
      <c r="O56" s="367"/>
    </row>
    <row r="57" spans="1:21" ht="12.75" customHeight="1">
      <c r="A57" s="94"/>
      <c r="B57" s="397"/>
      <c r="C57" s="397"/>
      <c r="D57" s="397"/>
      <c r="E57" s="397"/>
      <c r="F57" s="397"/>
      <c r="G57" s="397"/>
      <c r="H57" s="397"/>
      <c r="I57" s="397"/>
      <c r="J57" s="397"/>
      <c r="K57" s="397"/>
      <c r="L57" s="397"/>
      <c r="M57" s="397"/>
      <c r="N57" s="397"/>
      <c r="O57" s="367"/>
    </row>
    <row r="58" spans="1:21" ht="51.75" customHeight="1">
      <c r="B58" s="368"/>
      <c r="C58" s="355"/>
      <c r="D58" s="355"/>
      <c r="E58" s="355"/>
      <c r="I58" s="408" t="s">
        <v>271</v>
      </c>
      <c r="J58" s="408" t="s">
        <v>282</v>
      </c>
      <c r="K58" s="599" t="s">
        <v>283</v>
      </c>
      <c r="L58" s="600"/>
      <c r="M58" s="369"/>
      <c r="O58" s="369"/>
      <c r="P58" s="369"/>
      <c r="R58" s="369"/>
      <c r="S58" s="369"/>
      <c r="U58" s="137"/>
    </row>
    <row r="59" spans="1:21">
      <c r="A59" s="393"/>
      <c r="B59" s="393">
        <v>1</v>
      </c>
      <c r="C59" s="146" t="s">
        <v>286</v>
      </c>
      <c r="I59" s="34">
        <v>53.728999999999999</v>
      </c>
      <c r="J59" s="35"/>
      <c r="K59" s="586"/>
      <c r="L59" s="587"/>
      <c r="M59" s="371"/>
      <c r="N59" s="108"/>
      <c r="O59" s="367"/>
      <c r="P59" s="371"/>
      <c r="R59" s="367"/>
      <c r="S59" s="371"/>
    </row>
    <row r="60" spans="1:21">
      <c r="A60" s="393"/>
      <c r="B60" s="393">
        <v>2</v>
      </c>
      <c r="C60" s="146" t="s">
        <v>285</v>
      </c>
      <c r="I60" s="34">
        <v>89.022000000000006</v>
      </c>
      <c r="J60" s="35"/>
      <c r="K60" s="586"/>
      <c r="L60" s="587"/>
      <c r="M60" s="371"/>
      <c r="N60" s="108"/>
      <c r="O60" s="367"/>
      <c r="P60" s="371"/>
      <c r="R60" s="367"/>
      <c r="S60" s="371"/>
    </row>
    <row r="61" spans="1:21">
      <c r="A61" s="393"/>
      <c r="B61" s="393">
        <v>3</v>
      </c>
      <c r="C61" s="146" t="s">
        <v>284</v>
      </c>
      <c r="I61" s="34">
        <v>89.022000000000006</v>
      </c>
      <c r="J61" s="35"/>
      <c r="K61" s="586"/>
      <c r="L61" s="587"/>
      <c r="M61" s="371"/>
      <c r="P61" s="371"/>
      <c r="R61" s="367"/>
      <c r="S61" s="371"/>
    </row>
    <row r="62" spans="1:21">
      <c r="A62" s="393"/>
      <c r="B62" s="393">
        <v>4</v>
      </c>
      <c r="C62" s="146" t="s">
        <v>287</v>
      </c>
      <c r="I62" s="34"/>
      <c r="J62" s="35"/>
      <c r="K62" s="586"/>
      <c r="L62" s="587"/>
      <c r="M62" s="371"/>
      <c r="N62" s="108"/>
      <c r="O62" s="367"/>
      <c r="P62" s="371"/>
      <c r="R62" s="367"/>
      <c r="S62" s="371"/>
    </row>
    <row r="63" spans="1:21">
      <c r="A63" s="393"/>
      <c r="B63" s="393">
        <v>5</v>
      </c>
      <c r="C63" s="146" t="s">
        <v>288</v>
      </c>
      <c r="I63" s="34">
        <v>7.1849999999999996</v>
      </c>
      <c r="J63" s="35"/>
      <c r="K63" s="586"/>
      <c r="L63" s="587"/>
      <c r="M63" s="371"/>
      <c r="N63" s="108"/>
      <c r="R63" s="367"/>
      <c r="S63" s="371"/>
    </row>
    <row r="64" spans="1:21">
      <c r="A64" s="393"/>
      <c r="B64" s="393">
        <v>6</v>
      </c>
      <c r="C64" s="146" t="s">
        <v>289</v>
      </c>
      <c r="I64" s="34"/>
      <c r="J64" s="35"/>
      <c r="K64" s="586"/>
      <c r="L64" s="587"/>
      <c r="M64" s="371"/>
      <c r="N64" s="108"/>
      <c r="O64" s="367"/>
      <c r="P64" s="371"/>
      <c r="R64" s="367"/>
      <c r="S64" s="371"/>
    </row>
    <row r="65" spans="1:19">
      <c r="A65" s="393"/>
      <c r="B65" s="393">
        <v>7</v>
      </c>
      <c r="C65" s="146" t="s">
        <v>290</v>
      </c>
      <c r="I65" s="34"/>
      <c r="J65" s="35"/>
      <c r="K65" s="586"/>
      <c r="L65" s="587"/>
      <c r="M65" s="371"/>
      <c r="N65" s="108"/>
      <c r="O65" s="367"/>
      <c r="P65" s="371"/>
      <c r="R65" s="367"/>
      <c r="S65" s="371"/>
    </row>
    <row r="66" spans="1:19">
      <c r="A66" s="393"/>
      <c r="B66" s="393">
        <v>8</v>
      </c>
      <c r="C66" s="146" t="s">
        <v>291</v>
      </c>
      <c r="I66" s="34">
        <v>1</v>
      </c>
      <c r="J66" s="35"/>
      <c r="K66" s="586"/>
      <c r="L66" s="587"/>
      <c r="M66" s="371"/>
      <c r="N66" s="108"/>
      <c r="O66" s="367"/>
      <c r="P66" s="371"/>
      <c r="R66" s="367"/>
      <c r="S66" s="371"/>
    </row>
    <row r="67" spans="1:19">
      <c r="A67" s="393"/>
      <c r="B67" s="393">
        <v>9</v>
      </c>
      <c r="C67" s="146" t="s">
        <v>292</v>
      </c>
      <c r="I67" s="34"/>
      <c r="J67" s="35"/>
      <c r="K67" s="586"/>
      <c r="L67" s="587"/>
      <c r="M67" s="371"/>
      <c r="N67" s="108"/>
      <c r="O67" s="367"/>
      <c r="P67" s="371"/>
      <c r="R67" s="367"/>
      <c r="S67" s="371"/>
    </row>
    <row r="68" spans="1:19">
      <c r="A68" s="393"/>
      <c r="B68" s="393">
        <v>10</v>
      </c>
      <c r="C68" s="146" t="s">
        <v>293</v>
      </c>
      <c r="I68" s="34"/>
      <c r="J68" s="372"/>
      <c r="K68" s="588"/>
      <c r="L68" s="589"/>
      <c r="M68" s="371"/>
      <c r="N68" s="108"/>
      <c r="O68" s="367"/>
      <c r="P68" s="371"/>
      <c r="R68" s="367"/>
      <c r="S68" s="371"/>
    </row>
    <row r="69" spans="1:19">
      <c r="A69" s="393"/>
      <c r="B69" s="393">
        <v>11</v>
      </c>
      <c r="C69" s="146" t="s">
        <v>294</v>
      </c>
      <c r="I69" s="34">
        <v>67.108999999999995</v>
      </c>
      <c r="J69" s="35"/>
      <c r="K69" s="586"/>
      <c r="L69" s="587"/>
      <c r="M69" s="371"/>
      <c r="N69" s="108"/>
      <c r="O69" s="367"/>
      <c r="P69" s="371"/>
      <c r="R69" s="367"/>
      <c r="S69" s="371"/>
    </row>
    <row r="70" spans="1:19">
      <c r="A70" s="393"/>
      <c r="B70" s="393">
        <v>12</v>
      </c>
      <c r="C70" s="146" t="s">
        <v>295</v>
      </c>
      <c r="I70" s="34"/>
      <c r="J70" s="35"/>
      <c r="K70" s="586"/>
      <c r="L70" s="587"/>
      <c r="M70" s="371"/>
      <c r="N70" s="108"/>
      <c r="O70" s="367"/>
      <c r="P70" s="371"/>
      <c r="R70" s="367"/>
      <c r="S70" s="371"/>
    </row>
    <row r="71" spans="1:19">
      <c r="A71" s="393"/>
      <c r="B71" s="393">
        <v>13</v>
      </c>
      <c r="C71" s="146" t="s">
        <v>296</v>
      </c>
      <c r="I71" s="34"/>
      <c r="J71" s="35"/>
      <c r="K71" s="586"/>
      <c r="L71" s="587"/>
      <c r="M71" s="371"/>
      <c r="N71" s="108"/>
      <c r="O71" s="367"/>
      <c r="P71" s="371"/>
      <c r="R71" s="367"/>
      <c r="S71" s="371"/>
    </row>
    <row r="72" spans="1:19">
      <c r="A72" s="393"/>
      <c r="B72" s="393">
        <v>14</v>
      </c>
      <c r="C72" s="146" t="s">
        <v>297</v>
      </c>
      <c r="I72" s="34"/>
      <c r="J72" s="35"/>
      <c r="K72" s="586"/>
      <c r="L72" s="587"/>
      <c r="M72" s="371"/>
      <c r="N72" s="108"/>
      <c r="O72" s="367"/>
      <c r="P72" s="371"/>
      <c r="R72" s="367"/>
      <c r="S72" s="371"/>
    </row>
    <row r="73" spans="1:19">
      <c r="A73" s="393"/>
      <c r="B73" s="393">
        <v>15</v>
      </c>
      <c r="C73" s="122" t="s">
        <v>467</v>
      </c>
      <c r="D73" s="122"/>
      <c r="E73" s="122"/>
      <c r="F73" s="122"/>
      <c r="G73" s="122"/>
      <c r="I73" s="34">
        <v>393</v>
      </c>
      <c r="J73" s="35"/>
      <c r="K73" s="586"/>
      <c r="L73" s="587"/>
      <c r="M73" s="371"/>
      <c r="N73" s="108"/>
      <c r="O73" s="108"/>
      <c r="P73" s="371"/>
      <c r="R73" s="371"/>
      <c r="S73" s="371"/>
    </row>
    <row r="74" spans="1:19">
      <c r="A74" s="393"/>
      <c r="B74" s="393">
        <v>16</v>
      </c>
      <c r="C74" s="373" t="s">
        <v>468</v>
      </c>
      <c r="D74" s="192"/>
      <c r="E74" s="192"/>
      <c r="I74" s="34"/>
      <c r="J74" s="35"/>
      <c r="K74" s="586"/>
      <c r="L74" s="587"/>
      <c r="M74" s="371"/>
      <c r="N74" s="108"/>
      <c r="O74" s="367"/>
      <c r="P74" s="371"/>
      <c r="R74" s="367"/>
      <c r="S74" s="371"/>
    </row>
    <row r="75" spans="1:19">
      <c r="A75" s="393"/>
      <c r="B75" s="393">
        <v>17</v>
      </c>
      <c r="C75" t="s">
        <v>298</v>
      </c>
      <c r="D75" s="192"/>
      <c r="E75" s="192"/>
      <c r="I75" s="370">
        <f>SUM(I59:I74)</f>
        <v>700.06700000000001</v>
      </c>
      <c r="J75" s="374">
        <f>SUM(J59:J74)</f>
        <v>0</v>
      </c>
      <c r="K75" s="601">
        <f>SUM(K59:K74)</f>
        <v>0</v>
      </c>
      <c r="L75" s="602"/>
      <c r="M75" s="371"/>
      <c r="N75" s="108"/>
      <c r="O75" s="108"/>
      <c r="P75" s="371"/>
      <c r="R75" s="371"/>
      <c r="S75" s="371"/>
    </row>
    <row r="76" spans="1:19" ht="14.25" customHeight="1">
      <c r="A76" s="393"/>
      <c r="B76" s="375" t="s">
        <v>299</v>
      </c>
      <c r="C76" s="146" t="s">
        <v>300</v>
      </c>
      <c r="D76" s="146"/>
      <c r="E76" s="146"/>
      <c r="F76" s="146"/>
      <c r="G76" s="146"/>
      <c r="H76" s="146"/>
      <c r="I76" s="376"/>
      <c r="J76" s="377"/>
      <c r="K76" s="378"/>
      <c r="L76" s="378"/>
      <c r="M76" s="379"/>
      <c r="N76" s="380"/>
      <c r="O76" s="108"/>
      <c r="P76" s="371"/>
      <c r="R76" s="371"/>
      <c r="S76" s="371"/>
    </row>
    <row r="77" spans="1:19" ht="14.25" customHeight="1">
      <c r="A77" s="393"/>
      <c r="B77" s="375" t="s">
        <v>301</v>
      </c>
      <c r="C77" s="146" t="s">
        <v>302</v>
      </c>
      <c r="D77" s="146"/>
      <c r="E77" s="146"/>
      <c r="F77" s="146"/>
      <c r="G77" s="146"/>
      <c r="H77" s="146"/>
      <c r="I77" s="376"/>
      <c r="J77" s="377"/>
      <c r="K77" s="378"/>
      <c r="L77" s="378"/>
      <c r="M77" s="379"/>
      <c r="N77" s="380"/>
      <c r="O77" s="108"/>
      <c r="P77" s="371"/>
      <c r="R77" s="371"/>
      <c r="S77" s="371"/>
    </row>
    <row r="78" spans="1:19">
      <c r="A78" s="393"/>
      <c r="B78" s="375" t="s">
        <v>303</v>
      </c>
      <c r="C78" s="498" t="s">
        <v>304</v>
      </c>
      <c r="D78" s="498"/>
      <c r="E78" s="498"/>
      <c r="F78" s="498"/>
      <c r="G78" s="498"/>
      <c r="H78" s="498"/>
      <c r="I78" s="498"/>
      <c r="J78" s="498"/>
      <c r="K78" s="498"/>
      <c r="L78" s="498"/>
      <c r="M78" s="498"/>
      <c r="N78" s="498"/>
      <c r="O78" s="108"/>
      <c r="P78" s="371"/>
      <c r="R78" s="371"/>
      <c r="S78" s="371"/>
    </row>
    <row r="79" spans="1:19">
      <c r="A79" s="393"/>
      <c r="B79" s="267"/>
      <c r="C79" s="498"/>
      <c r="D79" s="498"/>
      <c r="E79" s="498"/>
      <c r="F79" s="498"/>
      <c r="G79" s="498"/>
      <c r="H79" s="498"/>
      <c r="I79" s="498"/>
      <c r="J79" s="498"/>
      <c r="K79" s="498"/>
      <c r="L79" s="498"/>
      <c r="M79" s="498"/>
      <c r="N79" s="498"/>
      <c r="O79" s="108"/>
      <c r="P79" s="371"/>
      <c r="R79" s="371"/>
      <c r="S79" s="371"/>
    </row>
    <row r="80" spans="1:19" ht="12.75" customHeight="1">
      <c r="A80" s="393"/>
      <c r="B80" s="375" t="s">
        <v>305</v>
      </c>
      <c r="C80" s="603" t="s">
        <v>513</v>
      </c>
      <c r="D80" s="603"/>
      <c r="E80" s="603"/>
      <c r="F80" s="603"/>
      <c r="G80" s="603"/>
      <c r="H80" s="603"/>
      <c r="I80" s="603"/>
      <c r="J80" s="603"/>
      <c r="K80" s="603"/>
      <c r="L80" s="603"/>
      <c r="M80" s="603"/>
      <c r="N80" s="603"/>
      <c r="O80" s="603"/>
      <c r="P80" s="371"/>
      <c r="R80" s="371"/>
      <c r="S80" s="371"/>
    </row>
    <row r="81" spans="1:19" ht="13.5" customHeight="1">
      <c r="C81" s="603"/>
      <c r="D81" s="603"/>
      <c r="E81" s="603"/>
      <c r="F81" s="603"/>
      <c r="G81" s="603"/>
      <c r="H81" s="603"/>
      <c r="I81" s="603"/>
      <c r="J81" s="603"/>
      <c r="K81" s="603"/>
      <c r="L81" s="603"/>
      <c r="M81" s="603"/>
      <c r="N81" s="603"/>
      <c r="O81" s="603"/>
      <c r="P81" s="381"/>
      <c r="Q81" s="381"/>
      <c r="R81" s="381"/>
      <c r="S81" s="381"/>
    </row>
    <row r="82" spans="1:19" ht="15.5">
      <c r="A82" s="366"/>
      <c r="B82" s="375" t="s">
        <v>306</v>
      </c>
      <c r="C82" s="146" t="s">
        <v>471</v>
      </c>
      <c r="D82" s="381"/>
      <c r="E82" s="381"/>
      <c r="F82" s="381"/>
      <c r="G82" s="381"/>
      <c r="H82" s="381"/>
      <c r="I82" s="381"/>
      <c r="J82" s="381"/>
      <c r="K82" s="381"/>
      <c r="L82" s="381"/>
      <c r="M82" s="381"/>
      <c r="N82" s="381"/>
      <c r="O82" s="381"/>
      <c r="P82" s="381"/>
      <c r="Q82" s="381"/>
      <c r="R82" s="381"/>
      <c r="S82" s="381"/>
    </row>
    <row r="83" spans="1:19" ht="15.5">
      <c r="A83" s="366"/>
      <c r="D83" s="382"/>
      <c r="E83" s="382"/>
      <c r="F83" s="382"/>
      <c r="G83" s="382"/>
      <c r="H83" s="382"/>
      <c r="I83" s="382"/>
      <c r="J83" s="382"/>
      <c r="K83" s="382"/>
      <c r="L83" s="382"/>
      <c r="M83" s="382"/>
      <c r="N83" s="382"/>
      <c r="O83" s="382"/>
      <c r="P83" s="382"/>
      <c r="Q83" s="381"/>
      <c r="R83" s="381"/>
      <c r="S83" s="381"/>
    </row>
    <row r="84" spans="1:19" ht="16" thickBot="1">
      <c r="A84" s="366" t="s">
        <v>307</v>
      </c>
    </row>
    <row r="85" spans="1:19" ht="13" thickBot="1">
      <c r="B85" s="383">
        <v>1</v>
      </c>
      <c r="C85" s="30"/>
      <c r="D85" s="462" t="s">
        <v>308</v>
      </c>
      <c r="E85" s="462"/>
      <c r="F85" s="462"/>
      <c r="G85" s="462"/>
      <c r="H85" s="462"/>
      <c r="I85" s="462"/>
      <c r="J85" s="462"/>
      <c r="K85" s="462"/>
      <c r="L85" s="462"/>
      <c r="M85" s="409"/>
      <c r="N85" s="384"/>
      <c r="O85" s="363"/>
      <c r="P85" s="363"/>
    </row>
    <row r="86" spans="1:19" ht="78" customHeight="1">
      <c r="B86" s="383"/>
      <c r="C86" s="549" t="s">
        <v>508</v>
      </c>
      <c r="D86" s="549"/>
      <c r="E86" s="549"/>
      <c r="F86" s="549"/>
      <c r="G86" s="549"/>
      <c r="H86" s="549"/>
      <c r="I86" s="549"/>
      <c r="J86" s="549"/>
      <c r="M86" s="409"/>
      <c r="N86" s="384"/>
    </row>
    <row r="87" spans="1:19">
      <c r="B87" s="383"/>
      <c r="C87" s="135"/>
      <c r="D87" s="135"/>
      <c r="E87" s="135"/>
      <c r="F87" s="135"/>
      <c r="G87" s="135"/>
      <c r="H87" s="135"/>
      <c r="M87" s="409"/>
      <c r="N87" s="384"/>
    </row>
    <row r="88" spans="1:19">
      <c r="B88" s="383">
        <v>2</v>
      </c>
      <c r="C88" t="s">
        <v>309</v>
      </c>
      <c r="M88" s="409" t="s">
        <v>6</v>
      </c>
      <c r="N88" s="31"/>
    </row>
    <row r="89" spans="1:19" ht="138.75" customHeight="1">
      <c r="B89" s="383"/>
      <c r="C89" s="549" t="s">
        <v>310</v>
      </c>
      <c r="D89" s="549"/>
      <c r="E89" s="549"/>
      <c r="F89" s="549"/>
      <c r="G89" s="549"/>
      <c r="H89" s="549"/>
      <c r="I89" s="549"/>
      <c r="J89" s="549"/>
      <c r="M89" s="409"/>
      <c r="N89" s="384"/>
    </row>
    <row r="90" spans="1:19" ht="165" customHeight="1">
      <c r="B90" s="383"/>
      <c r="C90" s="549" t="s">
        <v>311</v>
      </c>
      <c r="D90" s="549"/>
      <c r="E90" s="549"/>
      <c r="F90" s="549"/>
      <c r="G90" s="549"/>
      <c r="H90" s="549"/>
      <c r="I90" s="549"/>
      <c r="J90" s="549"/>
      <c r="K90" s="113"/>
      <c r="L90" s="113"/>
      <c r="M90" s="409"/>
      <c r="N90" s="384"/>
    </row>
    <row r="91" spans="1:19">
      <c r="B91" s="383"/>
      <c r="C91" s="135"/>
      <c r="D91" s="135"/>
      <c r="E91" s="135"/>
      <c r="F91" s="135"/>
      <c r="G91" s="135"/>
      <c r="H91" s="135"/>
      <c r="M91" s="409"/>
      <c r="N91" s="384"/>
    </row>
    <row r="92" spans="1:19">
      <c r="B92" s="383">
        <v>3</v>
      </c>
      <c r="C92" t="s">
        <v>509</v>
      </c>
      <c r="M92" s="409" t="s">
        <v>6</v>
      </c>
      <c r="N92" s="31">
        <v>23500</v>
      </c>
    </row>
    <row r="93" spans="1:19" ht="98.25" customHeight="1">
      <c r="B93" s="383"/>
      <c r="C93" s="549" t="s">
        <v>510</v>
      </c>
      <c r="D93" s="549"/>
      <c r="E93" s="549"/>
      <c r="F93" s="549"/>
      <c r="G93" s="549"/>
      <c r="H93" s="549"/>
      <c r="I93" s="549"/>
      <c r="J93" s="549"/>
      <c r="M93" s="409"/>
      <c r="N93" s="384"/>
    </row>
    <row r="94" spans="1:19">
      <c r="B94" s="383"/>
      <c r="C94" s="135"/>
      <c r="D94" s="135"/>
      <c r="E94" s="135"/>
      <c r="F94" s="135"/>
      <c r="M94" s="409"/>
      <c r="N94" s="384"/>
    </row>
    <row r="95" spans="1:19" ht="14.25" customHeight="1">
      <c r="B95" s="211">
        <v>4</v>
      </c>
      <c r="C95" t="s">
        <v>511</v>
      </c>
      <c r="M95" s="409" t="s">
        <v>6</v>
      </c>
      <c r="N95" s="31"/>
    </row>
    <row r="96" spans="1:19" ht="53.25" customHeight="1">
      <c r="C96" s="549" t="s">
        <v>512</v>
      </c>
      <c r="D96" s="549"/>
      <c r="E96" s="549"/>
      <c r="F96" s="549"/>
      <c r="G96" s="549"/>
      <c r="H96" s="549"/>
      <c r="I96" s="549"/>
      <c r="J96" s="549"/>
    </row>
    <row r="97" spans="1:28">
      <c r="C97" s="400"/>
      <c r="D97" s="400"/>
      <c r="E97" s="400"/>
      <c r="F97" s="400"/>
      <c r="G97" s="400"/>
      <c r="H97" s="400"/>
      <c r="I97" s="400"/>
      <c r="J97" s="400"/>
    </row>
    <row r="98" spans="1:28" s="192" customFormat="1">
      <c r="B98" s="211">
        <v>5</v>
      </c>
      <c r="C98" t="s">
        <v>312</v>
      </c>
      <c r="M98" s="409" t="s">
        <v>6</v>
      </c>
      <c r="N98" s="31"/>
    </row>
    <row r="99" spans="1:28" s="192" customFormat="1" ht="85.5" customHeight="1">
      <c r="C99" s="549" t="s">
        <v>313</v>
      </c>
      <c r="D99" s="549"/>
      <c r="E99" s="549"/>
      <c r="F99" s="549"/>
      <c r="G99" s="549"/>
      <c r="H99" s="549"/>
      <c r="I99" s="549"/>
      <c r="J99" s="549"/>
    </row>
    <row r="100" spans="1:28" ht="13.5" customHeight="1"/>
    <row r="101" spans="1:28" ht="15.5">
      <c r="A101" s="605"/>
      <c r="B101" s="605"/>
      <c r="C101" s="605"/>
      <c r="D101" s="605"/>
      <c r="E101" s="605"/>
      <c r="F101" s="605"/>
      <c r="G101" s="605"/>
      <c r="H101" s="605"/>
      <c r="I101" s="605"/>
      <c r="J101" s="605"/>
      <c r="K101" s="605"/>
      <c r="L101" s="605"/>
      <c r="M101" s="605"/>
      <c r="N101" s="605"/>
      <c r="V101" s="192"/>
      <c r="W101" s="192"/>
      <c r="X101" s="192"/>
      <c r="Y101" s="192"/>
      <c r="Z101" s="192"/>
      <c r="AA101" s="192"/>
    </row>
    <row r="102" spans="1:28">
      <c r="D102" s="192"/>
      <c r="E102" s="577"/>
      <c r="F102" s="577"/>
      <c r="G102" s="577"/>
      <c r="V102" s="192"/>
      <c r="W102" s="192"/>
      <c r="X102" s="192"/>
      <c r="Y102" s="192"/>
      <c r="Z102" s="192"/>
      <c r="AA102" s="192"/>
    </row>
    <row r="103" spans="1:28">
      <c r="B103" s="145"/>
      <c r="C103" s="606"/>
      <c r="D103" s="606"/>
      <c r="E103" s="606"/>
      <c r="V103" s="192"/>
      <c r="W103" s="192"/>
      <c r="X103" s="192"/>
      <c r="Y103" s="192"/>
      <c r="Z103" s="192"/>
      <c r="AA103" s="192"/>
    </row>
    <row r="104" spans="1:28">
      <c r="D104" s="192"/>
      <c r="E104" s="192"/>
      <c r="F104" s="192"/>
      <c r="G104" s="192"/>
      <c r="U104" s="192"/>
      <c r="V104" s="192"/>
      <c r="W104" s="192"/>
      <c r="X104" s="192"/>
      <c r="Y104" s="192"/>
      <c r="Z104" s="192"/>
      <c r="AA104" s="192"/>
      <c r="AB104" s="192"/>
    </row>
    <row r="105" spans="1:28">
      <c r="B105" s="145"/>
      <c r="C105" s="604"/>
      <c r="D105" s="604"/>
      <c r="E105" s="604"/>
      <c r="U105" s="192"/>
      <c r="V105" s="192"/>
      <c r="W105" s="192"/>
      <c r="X105" s="192"/>
      <c r="Y105" s="192"/>
      <c r="Z105" s="192"/>
      <c r="AA105" s="192"/>
      <c r="AB105" s="192"/>
    </row>
    <row r="106" spans="1:28">
      <c r="D106" s="192"/>
      <c r="E106" s="192"/>
      <c r="F106" s="192"/>
      <c r="G106" s="192"/>
      <c r="U106" s="192"/>
      <c r="V106" s="192"/>
      <c r="W106" s="192"/>
      <c r="X106" s="192"/>
      <c r="Y106" s="192"/>
      <c r="Z106" s="192"/>
      <c r="AA106" s="192"/>
      <c r="AB106" s="192"/>
    </row>
    <row r="107" spans="1:28" ht="12.75" customHeight="1">
      <c r="B107" s="145"/>
      <c r="C107" s="607"/>
      <c r="D107" s="607"/>
      <c r="E107" s="607"/>
      <c r="U107" s="192"/>
      <c r="V107" s="192"/>
      <c r="W107" s="192"/>
      <c r="X107" s="192"/>
      <c r="Y107" s="192"/>
      <c r="Z107" s="192"/>
      <c r="AA107" s="192"/>
      <c r="AB107" s="148"/>
    </row>
    <row r="108" spans="1:28">
      <c r="C108" s="607"/>
      <c r="D108" s="607"/>
      <c r="E108" s="607"/>
      <c r="U108" s="192"/>
      <c r="V108" s="449" t="s">
        <v>40</v>
      </c>
      <c r="W108" s="148"/>
      <c r="X108" s="148"/>
      <c r="Y108" s="148"/>
      <c r="Z108" s="148"/>
      <c r="AA108" s="148"/>
      <c r="AB108" s="148"/>
    </row>
    <row r="109" spans="1:28">
      <c r="D109" s="192"/>
      <c r="E109" s="192"/>
      <c r="F109" s="192"/>
      <c r="G109" s="192"/>
      <c r="U109" s="192"/>
      <c r="V109" s="449" t="s">
        <v>42</v>
      </c>
      <c r="W109" s="148"/>
      <c r="X109" s="148"/>
      <c r="Y109" s="148"/>
      <c r="Z109" s="148"/>
      <c r="AA109" s="148"/>
      <c r="AB109" s="148"/>
    </row>
    <row r="110" spans="1:28">
      <c r="B110" s="145"/>
      <c r="C110" s="498"/>
      <c r="D110" s="498"/>
      <c r="E110" s="498"/>
      <c r="F110" s="498"/>
      <c r="G110" s="498"/>
      <c r="H110" s="498"/>
      <c r="I110" s="498"/>
      <c r="J110" s="498"/>
      <c r="U110" s="192"/>
      <c r="V110" s="191" t="s">
        <v>44</v>
      </c>
      <c r="W110" s="148"/>
      <c r="X110" s="148"/>
      <c r="Y110" s="148"/>
      <c r="Z110" s="148"/>
      <c r="AA110" s="148"/>
      <c r="AB110" s="148"/>
    </row>
    <row r="111" spans="1:28">
      <c r="D111" s="192"/>
      <c r="E111" s="192"/>
      <c r="F111" s="192"/>
      <c r="G111" s="192"/>
      <c r="U111" s="192"/>
      <c r="V111" s="148" t="s">
        <v>45</v>
      </c>
      <c r="W111" s="148"/>
      <c r="X111" s="148"/>
      <c r="Y111" s="148"/>
      <c r="Z111" s="148"/>
      <c r="AA111" s="148"/>
      <c r="AB111" s="148"/>
    </row>
    <row r="112" spans="1:28">
      <c r="U112" s="192"/>
      <c r="V112" s="449" t="s">
        <v>47</v>
      </c>
      <c r="W112" s="148"/>
      <c r="X112" s="148"/>
      <c r="Y112" s="148"/>
      <c r="Z112" s="148"/>
      <c r="AA112" s="191" t="s">
        <v>38</v>
      </c>
      <c r="AB112" s="148"/>
    </row>
    <row r="113" spans="2:28">
      <c r="C113" s="604"/>
      <c r="D113" s="604"/>
      <c r="E113" s="604"/>
      <c r="U113" s="192"/>
      <c r="V113" s="449" t="s">
        <v>48</v>
      </c>
      <c r="W113" s="148"/>
      <c r="X113" s="148"/>
      <c r="Y113" s="148"/>
      <c r="Z113" s="148"/>
      <c r="AA113" s="191" t="s">
        <v>39</v>
      </c>
      <c r="AB113" s="148"/>
    </row>
    <row r="114" spans="2:28">
      <c r="C114" s="604"/>
      <c r="D114" s="604"/>
      <c r="E114" s="604"/>
      <c r="U114" s="192"/>
      <c r="V114" s="191" t="s">
        <v>50</v>
      </c>
      <c r="W114" s="148"/>
      <c r="X114" s="148"/>
      <c r="Y114" s="148"/>
      <c r="Z114" s="148"/>
      <c r="AA114" s="148"/>
      <c r="AB114" s="148"/>
    </row>
    <row r="115" spans="2:28">
      <c r="B115" s="145"/>
      <c r="C115" s="604"/>
      <c r="D115" s="604"/>
      <c r="E115" s="604"/>
      <c r="U115" s="192"/>
      <c r="V115" s="191" t="s">
        <v>51</v>
      </c>
      <c r="W115" s="148"/>
      <c r="X115" s="148"/>
      <c r="Y115" s="148"/>
      <c r="Z115" s="148"/>
      <c r="AA115" s="148"/>
      <c r="AB115" s="148"/>
    </row>
    <row r="116" spans="2:28">
      <c r="B116" s="145"/>
      <c r="C116" s="604"/>
      <c r="D116" s="604"/>
      <c r="E116" s="604"/>
      <c r="U116" s="192"/>
      <c r="V116" s="191" t="s">
        <v>52</v>
      </c>
      <c r="W116" s="148"/>
      <c r="X116" s="148"/>
      <c r="Y116" s="148"/>
      <c r="Z116" s="148"/>
      <c r="AA116" s="148"/>
      <c r="AB116" s="148"/>
    </row>
    <row r="117" spans="2:28">
      <c r="B117" s="145"/>
      <c r="C117" s="604"/>
      <c r="D117" s="604"/>
      <c r="E117" s="604"/>
      <c r="U117" s="192"/>
      <c r="V117" s="449" t="s">
        <v>53</v>
      </c>
      <c r="W117" s="148"/>
      <c r="X117" s="148"/>
      <c r="Y117" s="148"/>
      <c r="Z117" s="148"/>
      <c r="AA117" s="148"/>
      <c r="AB117" s="148"/>
    </row>
    <row r="118" spans="2:28">
      <c r="B118" s="145"/>
      <c r="C118" s="604"/>
      <c r="D118" s="604"/>
      <c r="E118" s="604"/>
      <c r="U118" s="192"/>
      <c r="V118" s="191" t="s">
        <v>54</v>
      </c>
      <c r="W118" s="148"/>
      <c r="X118" s="148"/>
      <c r="Y118" s="148"/>
      <c r="Z118" s="148"/>
      <c r="AA118" s="148"/>
      <c r="AB118" s="148"/>
    </row>
    <row r="119" spans="2:28">
      <c r="B119" s="145"/>
      <c r="C119" s="604"/>
      <c r="D119" s="604"/>
      <c r="E119" s="604"/>
      <c r="U119" s="192"/>
      <c r="V119" s="449" t="s">
        <v>55</v>
      </c>
      <c r="W119" s="148"/>
      <c r="X119" s="148"/>
      <c r="Y119" s="148"/>
      <c r="Z119" s="148"/>
      <c r="AA119" s="148"/>
      <c r="AB119" s="148"/>
    </row>
    <row r="120" spans="2:28">
      <c r="B120" s="145"/>
      <c r="C120" s="604"/>
      <c r="D120" s="604"/>
      <c r="E120" s="604"/>
      <c r="U120" s="192"/>
      <c r="V120" s="449" t="s">
        <v>57</v>
      </c>
      <c r="W120" s="148"/>
      <c r="X120" s="148"/>
      <c r="Y120" s="148"/>
      <c r="Z120" s="148"/>
      <c r="AA120" s="148"/>
      <c r="AB120" s="148"/>
    </row>
    <row r="121" spans="2:28">
      <c r="B121" s="145"/>
      <c r="C121" s="604"/>
      <c r="D121" s="604"/>
      <c r="E121" s="604"/>
      <c r="U121" s="192"/>
      <c r="V121" s="449" t="s">
        <v>59</v>
      </c>
      <c r="W121" s="148"/>
      <c r="X121" s="148"/>
      <c r="Y121" s="148"/>
      <c r="Z121" s="148"/>
      <c r="AA121" s="148"/>
      <c r="AB121" s="148"/>
    </row>
    <row r="122" spans="2:28">
      <c r="U122" s="192"/>
      <c r="V122" s="191"/>
      <c r="W122" s="148"/>
      <c r="X122" s="148"/>
      <c r="Y122" s="148"/>
      <c r="Z122" s="148"/>
      <c r="AA122" s="148"/>
      <c r="AB122" s="148"/>
    </row>
    <row r="123" spans="2:28">
      <c r="V123" s="148" t="s">
        <v>459</v>
      </c>
      <c r="W123" s="148"/>
      <c r="X123" s="148"/>
      <c r="Y123" s="148"/>
      <c r="Z123" s="148"/>
      <c r="AA123" s="148"/>
      <c r="AB123" s="148"/>
    </row>
    <row r="124" spans="2:28">
      <c r="V124" s="148" t="s">
        <v>460</v>
      </c>
      <c r="W124" s="148"/>
      <c r="X124" s="148"/>
      <c r="Y124" s="148"/>
      <c r="Z124" s="148"/>
      <c r="AA124" s="148"/>
      <c r="AB124" s="148"/>
    </row>
    <row r="125" spans="2:28">
      <c r="V125" s="148" t="s">
        <v>461</v>
      </c>
      <c r="W125" s="148"/>
      <c r="X125" s="148"/>
      <c r="Y125" s="148"/>
      <c r="Z125" s="148"/>
      <c r="AA125" s="148"/>
      <c r="AB125" s="148"/>
    </row>
    <row r="126" spans="2:28">
      <c r="V126" s="148" t="s">
        <v>462</v>
      </c>
      <c r="W126" s="148"/>
      <c r="X126" s="148"/>
      <c r="Y126" s="148"/>
      <c r="Z126" s="148"/>
      <c r="AA126" s="148"/>
      <c r="AB126" s="148"/>
    </row>
  </sheetData>
  <sheetProtection sheet="1" formatColumns="0" formatRows="0"/>
  <mergeCells count="113">
    <mergeCell ref="I49:J49"/>
    <mergeCell ref="K59:L59"/>
    <mergeCell ref="C93:J93"/>
    <mergeCell ref="K66:L66"/>
    <mergeCell ref="C90:J90"/>
    <mergeCell ref="K72:L72"/>
    <mergeCell ref="K61:L61"/>
    <mergeCell ref="C121:E121"/>
    <mergeCell ref="C110:J110"/>
    <mergeCell ref="A101:N101"/>
    <mergeCell ref="C116:E116"/>
    <mergeCell ref="C117:E117"/>
    <mergeCell ref="C118:E118"/>
    <mergeCell ref="C119:E119"/>
    <mergeCell ref="C120:E120"/>
    <mergeCell ref="C113:E113"/>
    <mergeCell ref="C114:E114"/>
    <mergeCell ref="C115:E115"/>
    <mergeCell ref="C103:E103"/>
    <mergeCell ref="C105:E105"/>
    <mergeCell ref="C107:E108"/>
    <mergeCell ref="E102:G102"/>
    <mergeCell ref="C89:J89"/>
    <mergeCell ref="C86:J86"/>
    <mergeCell ref="C78:N79"/>
    <mergeCell ref="D85:L85"/>
    <mergeCell ref="K71:L71"/>
    <mergeCell ref="C99:J99"/>
    <mergeCell ref="K69:L69"/>
    <mergeCell ref="C96:J96"/>
    <mergeCell ref="K74:L74"/>
    <mergeCell ref="K75:L75"/>
    <mergeCell ref="C80:O81"/>
    <mergeCell ref="K62:L62"/>
    <mergeCell ref="L49:M49"/>
    <mergeCell ref="K70:L70"/>
    <mergeCell ref="K73:L73"/>
    <mergeCell ref="K68:L68"/>
    <mergeCell ref="B41:E41"/>
    <mergeCell ref="D29:I29"/>
    <mergeCell ref="D30:I30"/>
    <mergeCell ref="D31:I31"/>
    <mergeCell ref="K37:M37"/>
    <mergeCell ref="D32:I32"/>
    <mergeCell ref="I41:J41"/>
    <mergeCell ref="L47:M47"/>
    <mergeCell ref="K67:L67"/>
    <mergeCell ref="K64:L64"/>
    <mergeCell ref="K60:L60"/>
    <mergeCell ref="H46:J46"/>
    <mergeCell ref="L50:M50"/>
    <mergeCell ref="K46:M46"/>
    <mergeCell ref="K58:L58"/>
    <mergeCell ref="B56:N56"/>
    <mergeCell ref="K63:L63"/>
    <mergeCell ref="I50:J50"/>
    <mergeCell ref="K65:L65"/>
    <mergeCell ref="L48:M48"/>
    <mergeCell ref="I47:J47"/>
    <mergeCell ref="I48:J48"/>
    <mergeCell ref="F46:G46"/>
    <mergeCell ref="A4:N4"/>
    <mergeCell ref="A5:C5"/>
    <mergeCell ref="E5:G5"/>
    <mergeCell ref="C6:E6"/>
    <mergeCell ref="C8:E8"/>
    <mergeCell ref="M29:N29"/>
    <mergeCell ref="M30:N30"/>
    <mergeCell ref="B44:N44"/>
    <mergeCell ref="F6:I6"/>
    <mergeCell ref="F8:I8"/>
    <mergeCell ref="F10:I11"/>
    <mergeCell ref="F15:I15"/>
    <mergeCell ref="F17:I17"/>
    <mergeCell ref="C23:E23"/>
    <mergeCell ref="C18:E18"/>
    <mergeCell ref="C19:E19"/>
    <mergeCell ref="C20:E20"/>
    <mergeCell ref="C21:E21"/>
    <mergeCell ref="C22:E22"/>
    <mergeCell ref="C10:E11"/>
    <mergeCell ref="Q25:AC25"/>
    <mergeCell ref="L41:M41"/>
    <mergeCell ref="J29:L29"/>
    <mergeCell ref="J30:L30"/>
    <mergeCell ref="J31:L31"/>
    <mergeCell ref="L38:M38"/>
    <mergeCell ref="M31:N31"/>
    <mergeCell ref="L39:M39"/>
    <mergeCell ref="M28:N28"/>
    <mergeCell ref="I38:J38"/>
    <mergeCell ref="I39:J39"/>
    <mergeCell ref="B27:N27"/>
    <mergeCell ref="B35:N35"/>
    <mergeCell ref="B40:E40"/>
    <mergeCell ref="I40:J40"/>
    <mergeCell ref="F38:G38"/>
    <mergeCell ref="L40:M40"/>
    <mergeCell ref="B39:E39"/>
    <mergeCell ref="C13:J13"/>
    <mergeCell ref="C15:E15"/>
    <mergeCell ref="C16:E16"/>
    <mergeCell ref="C17:E17"/>
    <mergeCell ref="H37:J37"/>
    <mergeCell ref="F37:G37"/>
    <mergeCell ref="B37:E37"/>
    <mergeCell ref="B38:E38"/>
    <mergeCell ref="F23:I23"/>
    <mergeCell ref="F18:I18"/>
    <mergeCell ref="F19:I19"/>
    <mergeCell ref="F20:I20"/>
    <mergeCell ref="F21:I21"/>
    <mergeCell ref="F22:I22"/>
  </mergeCells>
  <conditionalFormatting sqref="F15">
    <cfRule type="expression" dxfId="0" priority="1">
      <formula>$C$61&lt;&gt;""</formula>
    </cfRule>
  </conditionalFormatting>
  <dataValidations count="6">
    <dataValidation type="list" allowBlank="1" showInputMessage="1" showErrorMessage="1" sqref="C85" xr:uid="{00000000-0002-0000-0700-000000000000}">
      <formula1>"X"</formula1>
    </dataValidation>
    <dataValidation type="list" allowBlank="1" showInputMessage="1" showErrorMessage="1" sqref="B29:B32" xr:uid="{00000000-0002-0000-0700-000001000000}">
      <formula1>$Q$29:$Q$31</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98" xr:uid="{00000000-0002-0000-0700-000002000000}">
      <formula1>N98&lt;=0</formula1>
    </dataValidation>
    <dataValidation type="list" allowBlank="1" showInputMessage="1" showErrorMessage="1" sqref="F15:I15" xr:uid="{00000000-0002-0000-0700-000003000000}">
      <formula1>$V$122:$V$126</formula1>
    </dataValidation>
    <dataValidation type="list" allowBlank="1" showInputMessage="1" showErrorMessage="1" sqref="F10:I11" xr:uid="{00000000-0002-0000-0700-000004000000}">
      <formula1>$AA$112:$AA$113</formula1>
    </dataValidation>
    <dataValidation type="list" allowBlank="1" showInputMessage="1" showErrorMessage="1" sqref="F6:I6" xr:uid="{00000000-0002-0000-0700-000005000000}">
      <formula1>$V$108:$V$121</formula1>
    </dataValidation>
  </dataValidations>
  <pageMargins left="0.7" right="0.7" top="0.75" bottom="0.75" header="0.3" footer="0.3"/>
  <pageSetup scale="28" fitToWidth="0" orientation="portrait" r:id="rId1"/>
  <headerFooter>
    <oddFooter>&amp;L&amp;"Arial,Bold"Rev. 5/25 Arizona Department of Education and Auditor General&amp;R&amp;"Arial,Bold"Data Entry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44" zoomScaleNormal="100" workbookViewId="0">
      <selection activeCell="J79" sqref="J79"/>
    </sheetView>
  </sheetViews>
  <sheetFormatPr defaultColWidth="11" defaultRowHeight="11.5"/>
  <cols>
    <col min="1" max="1" width="3.453125" style="38" customWidth="1"/>
    <col min="2" max="2" width="2.453125" style="38" customWidth="1"/>
    <col min="3" max="3" width="4" style="38" customWidth="1"/>
    <col min="4" max="4" width="4.453125" style="38" customWidth="1"/>
    <col min="5" max="5" width="7.54296875" style="38" customWidth="1"/>
    <col min="6" max="7" width="11" style="38" customWidth="1"/>
    <col min="8" max="9" width="11.54296875" style="38" customWidth="1"/>
    <col min="10" max="10" width="12.54296875" style="38" customWidth="1"/>
    <col min="11" max="11" width="2.54296875" style="38" customWidth="1"/>
    <col min="12" max="12" width="14" style="38" customWidth="1"/>
    <col min="13" max="13" width="1.54296875" style="38" customWidth="1"/>
    <col min="14" max="14" width="14.54296875" style="38" customWidth="1"/>
    <col min="15" max="15" width="11" style="38" customWidth="1"/>
    <col min="16" max="16" width="7.54296875" style="38" customWidth="1"/>
    <col min="17" max="18" width="11" style="38" customWidth="1"/>
    <col min="19" max="19" width="7.453125" style="38" customWidth="1"/>
    <col min="20" max="22" width="11" style="38" customWidth="1"/>
    <col min="23" max="23" width="7.453125" style="38" customWidth="1"/>
    <col min="24" max="26" width="11" style="38" customWidth="1"/>
    <col min="27" max="27" width="7.453125" style="38" customWidth="1"/>
    <col min="28" max="32" width="11" style="38" customWidth="1"/>
    <col min="33" max="16384" width="11" style="38"/>
  </cols>
  <sheetData>
    <row r="1" spans="1:15" ht="15.75" customHeight="1">
      <c r="A1" s="611" t="s">
        <v>0</v>
      </c>
      <c r="B1" s="611"/>
      <c r="C1" s="611"/>
      <c r="D1" s="611"/>
      <c r="E1" s="493" t="str">
        <f>CharterName</f>
        <v>Tucson International Academy</v>
      </c>
      <c r="F1" s="493"/>
      <c r="G1" s="493"/>
      <c r="H1" s="409" t="s">
        <v>1</v>
      </c>
      <c r="I1" s="410" t="str">
        <f>Cover!M1</f>
        <v>Pima</v>
      </c>
      <c r="J1" s="611" t="s">
        <v>2</v>
      </c>
      <c r="K1" s="611"/>
      <c r="L1" s="494" t="str">
        <f>CTD</f>
        <v>108714000</v>
      </c>
      <c r="M1" s="494"/>
      <c r="N1" s="36"/>
      <c r="O1" s="37"/>
    </row>
    <row r="2" spans="1:15" ht="15.75" customHeight="1">
      <c r="A2" s="36"/>
      <c r="B2" s="36"/>
      <c r="C2" s="36"/>
      <c r="D2" s="36"/>
      <c r="E2" s="39"/>
      <c r="F2" s="39"/>
      <c r="G2" s="39"/>
      <c r="H2" s="36"/>
      <c r="I2" s="39"/>
      <c r="J2" s="36"/>
      <c r="K2" s="36"/>
      <c r="L2" s="37"/>
      <c r="M2" s="37"/>
      <c r="N2" s="36"/>
      <c r="O2" s="37"/>
    </row>
    <row r="3" spans="1:15" ht="15.75" customHeight="1">
      <c r="A3" s="36"/>
      <c r="B3" s="36"/>
      <c r="C3" s="36"/>
      <c r="D3" s="36"/>
      <c r="E3" s="39"/>
      <c r="F3" s="39"/>
      <c r="G3" s="39"/>
      <c r="H3" s="36"/>
      <c r="I3" s="39"/>
      <c r="J3" s="36"/>
      <c r="K3" s="36"/>
      <c r="L3" s="37"/>
      <c r="M3" s="37"/>
      <c r="N3" s="36"/>
      <c r="O3" s="37"/>
    </row>
    <row r="4" spans="1:15" ht="15.75" customHeight="1">
      <c r="A4" s="36"/>
      <c r="B4" s="36"/>
      <c r="C4" s="36"/>
      <c r="D4" s="36"/>
      <c r="E4" s="39"/>
      <c r="F4" s="39"/>
      <c r="G4" s="39"/>
      <c r="H4" s="36"/>
      <c r="I4" s="39"/>
      <c r="J4" s="36"/>
      <c r="K4" s="36"/>
      <c r="L4" s="37"/>
      <c r="M4" s="37"/>
      <c r="N4" s="36"/>
      <c r="O4" s="37"/>
    </row>
    <row r="5" spans="1:15" ht="15.75" customHeight="1">
      <c r="A5" s="1" t="s">
        <v>314</v>
      </c>
      <c r="B5" s="36"/>
      <c r="C5" s="6"/>
      <c r="D5" s="6"/>
      <c r="E5" s="6"/>
      <c r="F5" s="6"/>
      <c r="G5" s="6"/>
      <c r="H5" s="6"/>
      <c r="I5" s="39"/>
      <c r="J5" s="36"/>
      <c r="K5" s="36"/>
      <c r="L5" s="37"/>
      <c r="M5" s="37"/>
      <c r="N5" s="36"/>
      <c r="O5" s="37"/>
    </row>
    <row r="6" spans="1:15" ht="15.75" customHeight="1">
      <c r="A6" s="1"/>
      <c r="B6" s="36"/>
      <c r="C6" s="40" t="s">
        <v>315</v>
      </c>
      <c r="D6" s="41"/>
      <c r="E6" s="41"/>
      <c r="F6" s="41"/>
      <c r="G6" s="41"/>
      <c r="H6" s="41"/>
      <c r="I6" s="42"/>
      <c r="J6" s="43"/>
      <c r="K6" s="43"/>
      <c r="L6" s="44"/>
      <c r="M6" s="44"/>
      <c r="N6" s="43"/>
      <c r="O6" s="37"/>
    </row>
    <row r="7" spans="1:15" ht="15.75" customHeight="1" thickBot="1">
      <c r="A7" s="36"/>
      <c r="B7" s="36"/>
      <c r="C7" s="45" t="s">
        <v>316</v>
      </c>
      <c r="D7" s="45"/>
      <c r="E7" s="46"/>
      <c r="F7" s="46"/>
      <c r="G7" s="46"/>
      <c r="H7" s="46"/>
      <c r="I7" s="47"/>
      <c r="J7" s="48"/>
      <c r="K7" s="49"/>
      <c r="L7" s="50" t="s">
        <v>269</v>
      </c>
      <c r="M7" s="51"/>
      <c r="N7" s="52" t="s">
        <v>270</v>
      </c>
      <c r="O7" s="37"/>
    </row>
    <row r="8" spans="1:15" ht="15.75" customHeight="1" thickTop="1">
      <c r="A8" s="36"/>
      <c r="B8" s="36"/>
      <c r="C8" s="53" t="s">
        <v>317</v>
      </c>
      <c r="D8"/>
      <c r="E8"/>
      <c r="F8" s="54"/>
      <c r="G8" s="54"/>
      <c r="H8" s="54"/>
      <c r="I8" s="39"/>
      <c r="J8" s="36"/>
      <c r="K8" s="55"/>
      <c r="L8"/>
      <c r="M8" s="53"/>
      <c r="N8" s="56"/>
      <c r="O8" s="37"/>
    </row>
    <row r="9" spans="1:15" ht="15.75" customHeight="1" thickBot="1">
      <c r="A9" s="36"/>
      <c r="B9" s="36"/>
      <c r="C9" s="57"/>
      <c r="D9" s="58" t="s">
        <v>318</v>
      </c>
      <c r="E9" s="58"/>
      <c r="F9" s="58"/>
      <c r="G9" s="58"/>
      <c r="H9" s="58"/>
      <c r="I9" s="59"/>
      <c r="J9" s="60"/>
      <c r="K9" s="61"/>
      <c r="L9" s="62">
        <v>1.399</v>
      </c>
      <c r="M9" s="63"/>
      <c r="N9" s="64">
        <v>1.5589999999999999</v>
      </c>
      <c r="O9" s="37"/>
    </row>
    <row r="10" spans="1:15" ht="15.75" customHeight="1" thickTop="1">
      <c r="A10" s="36"/>
      <c r="B10" s="36"/>
      <c r="C10" s="65" t="s">
        <v>319</v>
      </c>
      <c r="D10"/>
      <c r="E10"/>
      <c r="F10" s="66"/>
      <c r="G10" s="66"/>
      <c r="H10" s="66"/>
      <c r="I10" s="39"/>
      <c r="J10" s="36"/>
      <c r="K10" s="67"/>
      <c r="L10" s="68"/>
      <c r="M10" s="53"/>
      <c r="N10" s="69"/>
      <c r="O10" s="37"/>
    </row>
    <row r="11" spans="1:15" ht="15.75" customHeight="1">
      <c r="A11" s="36"/>
      <c r="B11" s="36"/>
      <c r="C11" s="53"/>
      <c r="D11" t="s">
        <v>320</v>
      </c>
      <c r="E11"/>
      <c r="F11"/>
      <c r="G11"/>
      <c r="H11"/>
      <c r="I11" s="39"/>
      <c r="J11" s="36"/>
      <c r="K11" s="404"/>
      <c r="L11" s="70">
        <v>500</v>
      </c>
      <c r="M11" s="71"/>
      <c r="N11" s="72">
        <v>500</v>
      </c>
      <c r="O11" s="37"/>
    </row>
    <row r="12" spans="1:15" ht="15.75" customHeight="1">
      <c r="A12" s="36"/>
      <c r="B12" s="36"/>
      <c r="C12" s="53"/>
      <c r="D12" t="s">
        <v>321</v>
      </c>
      <c r="E12"/>
      <c r="F12"/>
      <c r="G12"/>
      <c r="H12"/>
      <c r="I12" s="39"/>
      <c r="J12" s="36"/>
      <c r="K12" s="404" t="s">
        <v>322</v>
      </c>
      <c r="L12" s="73">
        <f>IF('Data Entry'!I41&gt;99.999,IF('Data Entry'!I41&lt;500,'Data Entry'!I41,0),0)</f>
        <v>286</v>
      </c>
      <c r="M12" s="404" t="s">
        <v>322</v>
      </c>
      <c r="N12" s="74">
        <f>IF('Data Entry'!L41&gt;99.999,IF('Data Entry'!L41&lt;500,'Data Entry'!L41,0),0)</f>
        <v>107</v>
      </c>
      <c r="O12" s="37"/>
    </row>
    <row r="13" spans="1:15" ht="15.75" customHeight="1">
      <c r="A13" s="36"/>
      <c r="B13" s="36"/>
      <c r="C13" s="53"/>
      <c r="D13" t="s">
        <v>323</v>
      </c>
      <c r="E13"/>
      <c r="F13"/>
      <c r="G13"/>
      <c r="H13"/>
      <c r="I13" s="39"/>
      <c r="J13" s="36"/>
      <c r="K13" s="75" t="s">
        <v>276</v>
      </c>
      <c r="L13" s="73">
        <f>IF(L12&gt;0,ROUND(+L11-L12,4),0)</f>
        <v>214</v>
      </c>
      <c r="M13" s="76" t="s">
        <v>276</v>
      </c>
      <c r="N13" s="74">
        <f>IF(N12&gt;0,ROUND(+N11-N12,4),0)</f>
        <v>393</v>
      </c>
      <c r="O13" s="37"/>
    </row>
    <row r="14" spans="1:15" ht="15.75" customHeight="1">
      <c r="A14" s="36"/>
      <c r="B14" s="36"/>
      <c r="C14" s="53"/>
      <c r="D14" t="s">
        <v>324</v>
      </c>
      <c r="E14"/>
      <c r="F14"/>
      <c r="G14"/>
      <c r="H14"/>
      <c r="I14" s="39"/>
      <c r="J14" s="36"/>
      <c r="K14" s="75" t="s">
        <v>254</v>
      </c>
      <c r="L14" s="73">
        <v>2.9999999999999997E-4</v>
      </c>
      <c r="M14" s="75" t="s">
        <v>254</v>
      </c>
      <c r="N14" s="74">
        <v>4.0000000000000002E-4</v>
      </c>
      <c r="O14" s="37"/>
    </row>
    <row r="15" spans="1:15" ht="15.75" customHeight="1">
      <c r="A15" s="36"/>
      <c r="B15" s="36"/>
      <c r="C15" s="53"/>
      <c r="D15" t="s">
        <v>325</v>
      </c>
      <c r="E15"/>
      <c r="F15"/>
      <c r="G15"/>
      <c r="H15"/>
      <c r="I15" s="39"/>
      <c r="J15" s="36"/>
      <c r="K15" s="75" t="s">
        <v>276</v>
      </c>
      <c r="L15" s="73">
        <f>IF(L12&gt;0,ROUND(L13*L14,4),0)</f>
        <v>6.4199999999999993E-2</v>
      </c>
      <c r="M15" s="404" t="s">
        <v>276</v>
      </c>
      <c r="N15" s="74">
        <f>IF(N12&gt;0,ROUND(N13*N14,4),0)</f>
        <v>0.15720000000000001</v>
      </c>
      <c r="O15" s="37"/>
    </row>
    <row r="16" spans="1:15" ht="15.75" customHeight="1">
      <c r="A16" s="36"/>
      <c r="B16" s="36"/>
      <c r="C16" s="53"/>
      <c r="D16" t="s">
        <v>326</v>
      </c>
      <c r="E16"/>
      <c r="F16"/>
      <c r="G16"/>
      <c r="H16"/>
      <c r="I16" s="39"/>
      <c r="J16" s="36"/>
      <c r="K16" s="75" t="s">
        <v>273</v>
      </c>
      <c r="L16" s="73">
        <v>1.278</v>
      </c>
      <c r="M16" s="75" t="s">
        <v>273</v>
      </c>
      <c r="N16" s="74">
        <v>1.3979999999999999</v>
      </c>
      <c r="O16" s="37"/>
    </row>
    <row r="17" spans="1:15" ht="15.75" customHeight="1" thickBot="1">
      <c r="A17" s="36"/>
      <c r="B17" s="36"/>
      <c r="C17" s="57"/>
      <c r="D17" s="58" t="s">
        <v>327</v>
      </c>
      <c r="E17" s="58"/>
      <c r="F17" s="58"/>
      <c r="G17" s="58"/>
      <c r="H17" s="58"/>
      <c r="I17" s="59"/>
      <c r="J17" s="60"/>
      <c r="K17" s="77" t="s">
        <v>276</v>
      </c>
      <c r="L17" s="78">
        <f>IF(L12&gt;0,ROUND(+L15+L16,4),0)</f>
        <v>1.3422000000000001</v>
      </c>
      <c r="M17" s="63" t="s">
        <v>276</v>
      </c>
      <c r="N17" s="79">
        <f>IF(N12&gt;0,ROUND(+N15+N16,4),0)</f>
        <v>1.5551999999999999</v>
      </c>
      <c r="O17" s="37"/>
    </row>
    <row r="18" spans="1:15" ht="15.75" customHeight="1" thickTop="1">
      <c r="A18" s="36"/>
      <c r="B18" s="36"/>
      <c r="C18" s="65" t="s">
        <v>328</v>
      </c>
      <c r="D18"/>
      <c r="E18"/>
      <c r="F18" s="66"/>
      <c r="G18" s="66"/>
      <c r="H18" s="66"/>
      <c r="I18" s="39"/>
      <c r="J18" s="36"/>
      <c r="K18" s="67"/>
      <c r="L18" s="80"/>
      <c r="M18" s="53"/>
      <c r="N18" s="69"/>
      <c r="O18" s="37"/>
    </row>
    <row r="19" spans="1:15" ht="15.75" customHeight="1">
      <c r="A19" s="36"/>
      <c r="B19" s="36"/>
      <c r="C19" s="53"/>
      <c r="D19" t="s">
        <v>320</v>
      </c>
      <c r="E19"/>
      <c r="F19"/>
      <c r="G19"/>
      <c r="H19"/>
      <c r="I19" s="39"/>
      <c r="J19" s="36"/>
      <c r="K19" s="53"/>
      <c r="L19" s="81">
        <v>600</v>
      </c>
      <c r="M19" s="71"/>
      <c r="N19" s="74">
        <v>600</v>
      </c>
      <c r="O19" s="37"/>
    </row>
    <row r="20" spans="1:15" ht="15.75" customHeight="1">
      <c r="A20" s="36"/>
      <c r="B20" s="36"/>
      <c r="C20" s="53"/>
      <c r="D20" t="s">
        <v>321</v>
      </c>
      <c r="E20"/>
      <c r="F20"/>
      <c r="G20"/>
      <c r="H20"/>
      <c r="I20" s="39"/>
      <c r="J20" s="36"/>
      <c r="K20" s="407" t="s">
        <v>322</v>
      </c>
      <c r="L20" s="73">
        <f>IF('Data Entry'!I41&gt;499.999,IF('Data Entry'!I41&lt;600,'Data Entry'!I41,0),0)</f>
        <v>0</v>
      </c>
      <c r="M20" s="404" t="s">
        <v>322</v>
      </c>
      <c r="N20" s="74">
        <f>IF('Data Entry'!L41&gt;499.999,IF('Data Entry'!L41&lt;600,'Data Entry'!L41,0),0)</f>
        <v>0</v>
      </c>
      <c r="O20" s="37"/>
    </row>
    <row r="21" spans="1:15" ht="15.75" customHeight="1">
      <c r="A21" s="36"/>
      <c r="B21" s="36"/>
      <c r="C21" s="53"/>
      <c r="D21" t="s">
        <v>323</v>
      </c>
      <c r="E21"/>
      <c r="F21"/>
      <c r="G21"/>
      <c r="H21"/>
      <c r="I21" s="39"/>
      <c r="J21" s="36"/>
      <c r="K21" s="82" t="s">
        <v>276</v>
      </c>
      <c r="L21" s="73">
        <f>IF(L20&gt;0,ROUND(+L19-L20,4),0)</f>
        <v>0</v>
      </c>
      <c r="M21" s="76" t="s">
        <v>276</v>
      </c>
      <c r="N21" s="74">
        <f>IF(N20&gt;0,ROUND(+N19-N20,4),0)</f>
        <v>0</v>
      </c>
      <c r="O21" s="37"/>
    </row>
    <row r="22" spans="1:15" ht="15.75" customHeight="1">
      <c r="A22" s="36"/>
      <c r="B22" s="36"/>
      <c r="C22" s="53"/>
      <c r="D22" t="s">
        <v>324</v>
      </c>
      <c r="E22"/>
      <c r="F22"/>
      <c r="G22"/>
      <c r="H22"/>
      <c r="I22" s="39"/>
      <c r="J22" s="36"/>
      <c r="K22" s="407" t="s">
        <v>254</v>
      </c>
      <c r="L22" s="73">
        <v>1.1999999999999999E-3</v>
      </c>
      <c r="M22" s="75" t="s">
        <v>254</v>
      </c>
      <c r="N22" s="74">
        <v>1.2999999999999999E-3</v>
      </c>
      <c r="O22" s="37"/>
    </row>
    <row r="23" spans="1:15" ht="15.75" customHeight="1">
      <c r="A23" s="36"/>
      <c r="B23" s="36"/>
      <c r="C23" s="53"/>
      <c r="D23" t="s">
        <v>325</v>
      </c>
      <c r="E23"/>
      <c r="F23"/>
      <c r="G23"/>
      <c r="H23"/>
      <c r="I23" s="39"/>
      <c r="J23" s="36"/>
      <c r="K23" s="82" t="s">
        <v>276</v>
      </c>
      <c r="L23" s="73">
        <f>IF(L20&gt;0,ROUND(L21*L22,4),0)</f>
        <v>0</v>
      </c>
      <c r="M23" s="404" t="s">
        <v>276</v>
      </c>
      <c r="N23" s="74">
        <f>IF(N20&gt;0,ROUND(N21*N22,4),0)</f>
        <v>0</v>
      </c>
      <c r="O23" s="37"/>
    </row>
    <row r="24" spans="1:15" ht="15.75" customHeight="1">
      <c r="A24" s="36"/>
      <c r="B24" s="36"/>
      <c r="C24" s="53"/>
      <c r="D24" t="s">
        <v>326</v>
      </c>
      <c r="E24"/>
      <c r="F24"/>
      <c r="G24"/>
      <c r="H24"/>
      <c r="I24" s="39"/>
      <c r="J24" s="36"/>
      <c r="K24" s="407" t="s">
        <v>273</v>
      </c>
      <c r="L24" s="73">
        <v>1.1579999999999999</v>
      </c>
      <c r="M24" s="404" t="s">
        <v>273</v>
      </c>
      <c r="N24" s="74">
        <v>1.268</v>
      </c>
      <c r="O24" s="37"/>
    </row>
    <row r="25" spans="1:15" ht="15.75" customHeight="1" thickBot="1">
      <c r="A25" s="36"/>
      <c r="B25" s="36"/>
      <c r="C25" s="57"/>
      <c r="D25" s="58" t="s">
        <v>327</v>
      </c>
      <c r="E25" s="58"/>
      <c r="F25" s="58"/>
      <c r="G25" s="58"/>
      <c r="H25" s="58"/>
      <c r="I25" s="59"/>
      <c r="J25" s="60"/>
      <c r="K25" s="83" t="s">
        <v>276</v>
      </c>
      <c r="L25" s="78">
        <f>IF(L20&gt;0,ROUND(+L23+L24,4),0)</f>
        <v>0</v>
      </c>
      <c r="M25" s="77" t="s">
        <v>276</v>
      </c>
      <c r="N25" s="64">
        <f>IF(N20&gt;0,ROUND(+N23+N24,4),0)</f>
        <v>0</v>
      </c>
      <c r="O25" s="37"/>
    </row>
    <row r="26" spans="1:15" ht="15.75" customHeight="1" thickTop="1">
      <c r="A26" s="36"/>
      <c r="B26" s="36"/>
      <c r="C26" s="65" t="s">
        <v>329</v>
      </c>
      <c r="D26"/>
      <c r="E26"/>
      <c r="F26" s="84"/>
      <c r="G26" s="84"/>
      <c r="H26" s="66"/>
      <c r="I26" s="39"/>
      <c r="J26" s="36"/>
      <c r="K26" s="67"/>
      <c r="L26" s="85"/>
      <c r="M26" s="65"/>
      <c r="N26" s="69"/>
      <c r="O26" s="37"/>
    </row>
    <row r="27" spans="1:15" ht="15.75" customHeight="1" thickBot="1">
      <c r="A27" s="36"/>
      <c r="B27" s="36"/>
      <c r="C27" s="86"/>
      <c r="D27" s="58" t="s">
        <v>327</v>
      </c>
      <c r="E27" s="58"/>
      <c r="F27" s="58"/>
      <c r="G27" s="58"/>
      <c r="H27" s="58"/>
      <c r="I27" s="59"/>
      <c r="J27" s="60"/>
      <c r="K27" s="63"/>
      <c r="L27" s="62">
        <v>1.1579999999999999</v>
      </c>
      <c r="M27" s="63"/>
      <c r="N27" s="64">
        <v>1.268</v>
      </c>
      <c r="O27" s="37"/>
    </row>
    <row r="28" spans="1:15" ht="15.75" customHeight="1" thickTop="1">
      <c r="A28" s="36"/>
      <c r="B28" s="36"/>
      <c r="C28" s="87"/>
      <c r="D28"/>
      <c r="E28"/>
      <c r="F28"/>
      <c r="G28"/>
      <c r="H28"/>
      <c r="I28" s="39"/>
      <c r="J28" s="36"/>
      <c r="K28"/>
      <c r="L28"/>
      <c r="M28"/>
      <c r="N28"/>
      <c r="O28" s="37"/>
    </row>
    <row r="29" spans="1:15" ht="15.75" customHeight="1">
      <c r="A29" s="36"/>
      <c r="B29" s="36"/>
      <c r="C29" s="87"/>
      <c r="D29"/>
      <c r="E29"/>
      <c r="F29"/>
      <c r="G29"/>
      <c r="H29"/>
      <c r="I29" s="39"/>
      <c r="J29" s="36"/>
      <c r="K29"/>
      <c r="L29"/>
      <c r="M29"/>
      <c r="N29"/>
      <c r="O29" s="37"/>
    </row>
    <row r="30" spans="1:15" ht="15.75" customHeight="1">
      <c r="A30" s="36"/>
      <c r="B30" s="36"/>
      <c r="C30" s="87"/>
      <c r="D30"/>
      <c r="E30"/>
      <c r="F30"/>
      <c r="G30"/>
      <c r="H30"/>
      <c r="I30" s="39"/>
      <c r="J30" s="36"/>
      <c r="K30"/>
      <c r="L30"/>
      <c r="M30"/>
      <c r="N30"/>
      <c r="O30" s="37"/>
    </row>
    <row r="31" spans="1:15" ht="15.75" customHeight="1">
      <c r="A31" s="36"/>
      <c r="B31" s="36"/>
      <c r="C31" s="40" t="s">
        <v>330</v>
      </c>
      <c r="D31" s="40"/>
      <c r="E31" s="40"/>
      <c r="F31" s="40"/>
      <c r="G31" s="40"/>
      <c r="H31" s="40"/>
      <c r="I31" s="88"/>
      <c r="J31" s="401"/>
      <c r="K31" s="40"/>
      <c r="L31" s="40"/>
      <c r="M31" s="40"/>
      <c r="N31" s="40"/>
      <c r="O31" s="89"/>
    </row>
    <row r="32" spans="1:15" ht="15.75" customHeight="1" thickBot="1">
      <c r="A32" s="36"/>
      <c r="B32" s="36"/>
      <c r="C32" s="45" t="s">
        <v>316</v>
      </c>
      <c r="D32" s="45"/>
      <c r="E32" s="46"/>
      <c r="F32" s="46"/>
      <c r="G32" s="46"/>
      <c r="H32" s="46"/>
      <c r="I32" s="47"/>
      <c r="J32" s="48"/>
      <c r="K32" s="49"/>
      <c r="L32" s="50" t="s">
        <v>269</v>
      </c>
      <c r="M32" s="90"/>
      <c r="N32" s="52" t="s">
        <v>270</v>
      </c>
      <c r="O32" s="37"/>
    </row>
    <row r="33" spans="1:15" ht="15.75" customHeight="1" thickTop="1">
      <c r="A33" s="36"/>
      <c r="B33" s="36"/>
      <c r="C33" s="53" t="s">
        <v>331</v>
      </c>
      <c r="D33"/>
      <c r="E33"/>
      <c r="F33" s="54"/>
      <c r="G33" s="54"/>
      <c r="H33" s="54"/>
      <c r="I33" s="39"/>
      <c r="J33" s="36"/>
      <c r="K33" s="53"/>
      <c r="L33"/>
      <c r="M33" s="53"/>
      <c r="N33" s="91"/>
      <c r="O33" s="37"/>
    </row>
    <row r="34" spans="1:15" ht="15.75" customHeight="1" thickBot="1">
      <c r="A34" s="36"/>
      <c r="B34" s="36"/>
      <c r="C34" s="57"/>
      <c r="D34" s="58" t="s">
        <v>318</v>
      </c>
      <c r="E34" s="58"/>
      <c r="F34" s="58"/>
      <c r="G34" s="58"/>
      <c r="H34" s="58"/>
      <c r="I34" s="59"/>
      <c r="J34" s="60"/>
      <c r="K34" s="63"/>
      <c r="L34" s="62">
        <v>1.399</v>
      </c>
      <c r="M34" s="63"/>
      <c r="N34" s="64">
        <v>1.5589999999999999</v>
      </c>
      <c r="O34" s="37"/>
    </row>
    <row r="35" spans="1:15" ht="15.75" customHeight="1" thickTop="1">
      <c r="A35" s="36"/>
      <c r="B35" s="36"/>
      <c r="C35" s="65" t="s">
        <v>319</v>
      </c>
      <c r="D35"/>
      <c r="E35"/>
      <c r="F35" s="66"/>
      <c r="G35" s="66"/>
      <c r="H35" s="66"/>
      <c r="I35" s="39"/>
      <c r="J35" s="36"/>
      <c r="K35" s="92"/>
      <c r="L35" s="68"/>
      <c r="M35" s="53"/>
      <c r="N35" s="69"/>
      <c r="O35" s="37"/>
    </row>
    <row r="36" spans="1:15" ht="15.75" customHeight="1">
      <c r="A36" s="36"/>
      <c r="B36" s="36"/>
      <c r="C36" s="53"/>
      <c r="D36" t="s">
        <v>320</v>
      </c>
      <c r="E36"/>
      <c r="F36"/>
      <c r="G36"/>
      <c r="H36"/>
      <c r="I36" s="39"/>
      <c r="J36" s="36"/>
      <c r="K36" s="402"/>
      <c r="L36" s="81">
        <v>500</v>
      </c>
      <c r="M36" s="404"/>
      <c r="N36" s="74">
        <v>500</v>
      </c>
      <c r="O36" s="37"/>
    </row>
    <row r="37" spans="1:15" ht="15.75" customHeight="1">
      <c r="A37" s="36"/>
      <c r="B37" s="36"/>
      <c r="C37" s="53"/>
      <c r="D37" t="s">
        <v>321</v>
      </c>
      <c r="E37"/>
      <c r="F37"/>
      <c r="G37"/>
      <c r="H37"/>
      <c r="I37" s="39"/>
      <c r="J37" s="36"/>
      <c r="K37" s="402" t="s">
        <v>322</v>
      </c>
      <c r="L37" s="73">
        <f>IF('Data Entry'!I50&gt;99.999,IF('Data Entry'!I50&lt;500,'Data Entry'!I50,0),0)</f>
        <v>0</v>
      </c>
      <c r="M37" s="402" t="s">
        <v>322</v>
      </c>
      <c r="N37" s="74">
        <f>IF('Data Entry'!L50&gt;99.999,IF('Data Entry'!L50&lt;500,'Data Entry'!L50,0),0)</f>
        <v>0</v>
      </c>
      <c r="O37" s="37"/>
    </row>
    <row r="38" spans="1:15" ht="15.75" customHeight="1">
      <c r="A38" s="36"/>
      <c r="B38" s="36"/>
      <c r="C38" s="53"/>
      <c r="D38" t="s">
        <v>323</v>
      </c>
      <c r="E38"/>
      <c r="F38"/>
      <c r="G38"/>
      <c r="H38"/>
      <c r="I38" s="39"/>
      <c r="J38" s="36"/>
      <c r="K38" s="402" t="s">
        <v>276</v>
      </c>
      <c r="L38" s="73">
        <f>IF(L37&gt;0,ROUND(+L36-L37,4),0)</f>
        <v>0</v>
      </c>
      <c r="M38" s="402" t="s">
        <v>276</v>
      </c>
      <c r="N38" s="74">
        <f>IF(N37&gt;0,ROUND(+N36-N37,4),0)</f>
        <v>0</v>
      </c>
      <c r="O38" s="37"/>
    </row>
    <row r="39" spans="1:15" ht="15.75" customHeight="1">
      <c r="A39" s="36"/>
      <c r="B39" s="36"/>
      <c r="C39" s="53"/>
      <c r="D39" t="s">
        <v>324</v>
      </c>
      <c r="E39"/>
      <c r="F39"/>
      <c r="G39"/>
      <c r="H39"/>
      <c r="I39" s="39"/>
      <c r="J39" s="36"/>
      <c r="K39" s="402" t="s">
        <v>254</v>
      </c>
      <c r="L39" s="73">
        <v>2.9999999999999997E-4</v>
      </c>
      <c r="M39" s="402" t="s">
        <v>254</v>
      </c>
      <c r="N39" s="74">
        <v>4.0000000000000002E-4</v>
      </c>
      <c r="O39" s="37"/>
    </row>
    <row r="40" spans="1:15" ht="15.75" customHeight="1">
      <c r="A40" s="36"/>
      <c r="B40" s="36"/>
      <c r="C40" s="53"/>
      <c r="D40" t="s">
        <v>325</v>
      </c>
      <c r="E40"/>
      <c r="F40"/>
      <c r="G40"/>
      <c r="H40"/>
      <c r="I40" s="39"/>
      <c r="J40" s="36"/>
      <c r="K40" s="402" t="s">
        <v>276</v>
      </c>
      <c r="L40" s="73">
        <f>IF(L37&gt;0,ROUND(L38*L39,4),0)</f>
        <v>0</v>
      </c>
      <c r="M40" s="402" t="s">
        <v>276</v>
      </c>
      <c r="N40" s="74">
        <f>IF(N37&gt;0,ROUND(N38*N39,4),0)</f>
        <v>0</v>
      </c>
      <c r="O40" s="37"/>
    </row>
    <row r="41" spans="1:15" ht="15.75" customHeight="1">
      <c r="A41" s="36"/>
      <c r="B41" s="36"/>
      <c r="C41" s="53"/>
      <c r="D41" t="s">
        <v>326</v>
      </c>
      <c r="E41"/>
      <c r="F41"/>
      <c r="G41"/>
      <c r="H41"/>
      <c r="I41" s="39"/>
      <c r="J41" s="36"/>
      <c r="K41" s="402" t="s">
        <v>273</v>
      </c>
      <c r="L41" s="73">
        <v>1.278</v>
      </c>
      <c r="M41" s="402" t="s">
        <v>273</v>
      </c>
      <c r="N41" s="74">
        <v>1.3979999999999999</v>
      </c>
      <c r="O41" s="37"/>
    </row>
    <row r="42" spans="1:15" ht="15.75" customHeight="1" thickBot="1">
      <c r="A42" s="36"/>
      <c r="B42" s="36"/>
      <c r="C42" s="57"/>
      <c r="D42" s="58" t="s">
        <v>327</v>
      </c>
      <c r="E42" s="58"/>
      <c r="F42" s="58"/>
      <c r="G42" s="58"/>
      <c r="H42" s="58"/>
      <c r="I42" s="59"/>
      <c r="J42" s="60"/>
      <c r="K42" s="83" t="s">
        <v>276</v>
      </c>
      <c r="L42" s="78">
        <f>IF(L37&gt;0,ROUND(+L40+L41,4),0)</f>
        <v>0</v>
      </c>
      <c r="M42" s="83" t="s">
        <v>276</v>
      </c>
      <c r="N42" s="64">
        <f>IF(N37&gt;0,ROUND(+N40+N41,4),0)</f>
        <v>0</v>
      </c>
      <c r="O42" s="37"/>
    </row>
    <row r="43" spans="1:15" ht="15.75" customHeight="1" thickTop="1">
      <c r="A43" s="36"/>
      <c r="B43" s="36"/>
      <c r="C43" s="65" t="s">
        <v>328</v>
      </c>
      <c r="D43"/>
      <c r="E43"/>
      <c r="F43" s="66"/>
      <c r="G43" s="66"/>
      <c r="H43" s="66"/>
      <c r="I43" s="39"/>
      <c r="J43" s="36"/>
      <c r="K43" s="67"/>
      <c r="L43" s="68"/>
      <c r="M43" s="53"/>
      <c r="N43" s="69"/>
      <c r="O43" s="37"/>
    </row>
    <row r="44" spans="1:15" ht="15.75" customHeight="1">
      <c r="A44" s="36"/>
      <c r="B44" s="36"/>
      <c r="C44" s="53"/>
      <c r="D44" t="s">
        <v>320</v>
      </c>
      <c r="E44"/>
      <c r="F44"/>
      <c r="G44"/>
      <c r="H44"/>
      <c r="I44" s="39"/>
      <c r="J44" s="36"/>
      <c r="K44" s="402"/>
      <c r="L44" s="81">
        <v>600</v>
      </c>
      <c r="M44" s="404"/>
      <c r="N44" s="74">
        <v>600</v>
      </c>
      <c r="O44" s="37"/>
    </row>
    <row r="45" spans="1:15" ht="15.75" customHeight="1">
      <c r="A45" s="36"/>
      <c r="B45" s="36"/>
      <c r="C45" s="53"/>
      <c r="D45" t="s">
        <v>321</v>
      </c>
      <c r="E45"/>
      <c r="F45"/>
      <c r="G45"/>
      <c r="H45"/>
      <c r="I45" s="39"/>
      <c r="J45" s="36"/>
      <c r="K45" s="402" t="s">
        <v>322</v>
      </c>
      <c r="L45" s="73">
        <f>IF('Data Entry'!I50&gt;499.999,IF('Data Entry'!I50&lt;600,'Data Entry'!I50,0),0)</f>
        <v>0</v>
      </c>
      <c r="M45" s="402" t="s">
        <v>322</v>
      </c>
      <c r="N45" s="74">
        <f>IF('Data Entry'!L50&gt;499.999,IF('Data Entry'!L50&lt;600,'Data Entry'!L50,0),0)</f>
        <v>0</v>
      </c>
      <c r="O45" s="37"/>
    </row>
    <row r="46" spans="1:15" ht="15.75" customHeight="1">
      <c r="A46" s="36"/>
      <c r="B46" s="36"/>
      <c r="C46" s="53"/>
      <c r="D46" t="s">
        <v>323</v>
      </c>
      <c r="E46"/>
      <c r="F46"/>
      <c r="G46"/>
      <c r="H46"/>
      <c r="I46" s="39"/>
      <c r="J46" s="36"/>
      <c r="K46" s="402" t="s">
        <v>276</v>
      </c>
      <c r="L46" s="73">
        <f>IF(L45&gt;0,ROUND(+L44-L45,4),0)</f>
        <v>0</v>
      </c>
      <c r="M46" s="402" t="s">
        <v>276</v>
      </c>
      <c r="N46" s="74">
        <f>IF(N45&gt;0,ROUND(+N44-N45,4),0)</f>
        <v>0</v>
      </c>
      <c r="O46" s="37"/>
    </row>
    <row r="47" spans="1:15" ht="15.75" customHeight="1">
      <c r="A47" s="36"/>
      <c r="B47" s="36"/>
      <c r="C47" s="53"/>
      <c r="D47" t="s">
        <v>324</v>
      </c>
      <c r="E47"/>
      <c r="F47"/>
      <c r="G47"/>
      <c r="H47"/>
      <c r="I47" s="39"/>
      <c r="J47" s="36"/>
      <c r="K47" s="402" t="s">
        <v>254</v>
      </c>
      <c r="L47" s="73">
        <v>1.1999999999999999E-3</v>
      </c>
      <c r="M47" s="402" t="s">
        <v>254</v>
      </c>
      <c r="N47" s="74">
        <v>1.2999999999999999E-3</v>
      </c>
      <c r="O47" s="37"/>
    </row>
    <row r="48" spans="1:15" ht="15.75" customHeight="1">
      <c r="A48" s="36"/>
      <c r="B48" s="36"/>
      <c r="C48" s="53"/>
      <c r="D48" t="s">
        <v>325</v>
      </c>
      <c r="E48"/>
      <c r="F48"/>
      <c r="G48"/>
      <c r="H48"/>
      <c r="I48" s="39"/>
      <c r="J48" s="36"/>
      <c r="K48" s="402" t="s">
        <v>276</v>
      </c>
      <c r="L48" s="73">
        <f>IF(L45&gt;0,ROUND(L46*L47,4),0)</f>
        <v>0</v>
      </c>
      <c r="M48" s="402" t="s">
        <v>276</v>
      </c>
      <c r="N48" s="74">
        <f>IF(N45&gt;0,ROUND(N46*N47,4),0)</f>
        <v>0</v>
      </c>
      <c r="O48" s="37"/>
    </row>
    <row r="49" spans="1:31" ht="15.75" customHeight="1">
      <c r="A49" s="36"/>
      <c r="B49" s="36"/>
      <c r="C49" s="53"/>
      <c r="D49" t="s">
        <v>326</v>
      </c>
      <c r="E49"/>
      <c r="F49"/>
      <c r="G49"/>
      <c r="H49"/>
      <c r="I49" s="39"/>
      <c r="J49" s="36"/>
      <c r="K49" s="402" t="s">
        <v>273</v>
      </c>
      <c r="L49" s="73">
        <v>1.1579999999999999</v>
      </c>
      <c r="M49" s="402" t="s">
        <v>273</v>
      </c>
      <c r="N49" s="74">
        <v>1.268</v>
      </c>
      <c r="O49" s="37"/>
    </row>
    <row r="50" spans="1:31" ht="15.75" customHeight="1" thickBot="1">
      <c r="A50" s="36"/>
      <c r="B50" s="36"/>
      <c r="C50" s="57"/>
      <c r="D50" s="58" t="s">
        <v>327</v>
      </c>
      <c r="E50" s="58"/>
      <c r="F50" s="58"/>
      <c r="G50" s="58"/>
      <c r="H50" s="58"/>
      <c r="I50" s="59"/>
      <c r="J50" s="60"/>
      <c r="K50" s="83" t="s">
        <v>276</v>
      </c>
      <c r="L50" s="78">
        <f>IF(L45&gt;0,ROUND(+L48+L49,4),0)</f>
        <v>0</v>
      </c>
      <c r="M50" s="83" t="s">
        <v>276</v>
      </c>
      <c r="N50" s="64">
        <f>IF(N45&gt;0,ROUND(+N48+N49,4),0)</f>
        <v>0</v>
      </c>
      <c r="O50" s="37"/>
    </row>
    <row r="51" spans="1:31" ht="15.75" customHeight="1" thickTop="1">
      <c r="A51" s="36"/>
      <c r="B51" s="36"/>
      <c r="C51" s="65" t="s">
        <v>329</v>
      </c>
      <c r="D51"/>
      <c r="E51"/>
      <c r="F51" s="84"/>
      <c r="G51" s="84"/>
      <c r="H51" s="66"/>
      <c r="I51" s="39"/>
      <c r="J51" s="36"/>
      <c r="K51" s="67"/>
      <c r="L51" s="80"/>
      <c r="M51" s="53"/>
      <c r="N51" s="69"/>
      <c r="O51" s="37"/>
    </row>
    <row r="52" spans="1:31" ht="15.75" customHeight="1" thickBot="1">
      <c r="A52" s="36"/>
      <c r="B52" s="36"/>
      <c r="C52" s="86"/>
      <c r="D52" s="58" t="s">
        <v>327</v>
      </c>
      <c r="E52" s="58"/>
      <c r="F52" s="58"/>
      <c r="G52" s="58"/>
      <c r="H52" s="58"/>
      <c r="I52" s="59"/>
      <c r="J52" s="60"/>
      <c r="K52" s="63"/>
      <c r="L52" s="62">
        <v>1.1579999999999999</v>
      </c>
      <c r="M52" s="93"/>
      <c r="N52" s="64">
        <v>1.268</v>
      </c>
      <c r="O52" s="37"/>
    </row>
    <row r="53" spans="1:31" ht="15.75" customHeight="1" thickTop="1">
      <c r="A53" s="36"/>
      <c r="B53" s="36"/>
      <c r="C53" s="36"/>
      <c r="D53" s="36"/>
      <c r="E53" s="39"/>
      <c r="F53" s="39"/>
      <c r="G53" s="39"/>
      <c r="H53" s="36"/>
      <c r="I53" s="39"/>
      <c r="J53" s="36"/>
      <c r="K53" s="36"/>
      <c r="L53" s="37"/>
      <c r="M53" s="37"/>
      <c r="N53" s="36"/>
      <c r="O53" s="37"/>
    </row>
    <row r="54" spans="1:31" ht="15.75" customHeight="1">
      <c r="A54" s="36"/>
      <c r="B54" s="36"/>
      <c r="C54" s="36"/>
      <c r="D54" s="36"/>
      <c r="E54" s="39"/>
      <c r="F54" s="39"/>
      <c r="G54" s="39"/>
      <c r="H54" s="36"/>
      <c r="I54" s="39"/>
      <c r="J54" s="36"/>
      <c r="K54" s="36"/>
      <c r="L54" s="37"/>
      <c r="M54" s="37"/>
      <c r="N54" s="36"/>
      <c r="O54" s="37"/>
    </row>
    <row r="55" spans="1:31" ht="15.75" customHeight="1">
      <c r="A55" s="36"/>
      <c r="B55" s="36"/>
      <c r="C55" s="36"/>
      <c r="D55" s="36"/>
      <c r="E55" s="39"/>
      <c r="F55" s="39"/>
      <c r="G55" s="39"/>
      <c r="H55" s="36"/>
      <c r="I55" s="39"/>
      <c r="J55" s="36"/>
      <c r="K55" s="36"/>
      <c r="L55" s="37"/>
      <c r="M55" s="37"/>
      <c r="N55" s="36"/>
      <c r="O55" s="37"/>
    </row>
    <row r="56" spans="1:31" ht="15.75" customHeight="1">
      <c r="A56" s="36"/>
      <c r="B56" s="94" t="s">
        <v>332</v>
      </c>
      <c r="C56" s="94"/>
      <c r="D56"/>
      <c r="E56"/>
      <c r="F56"/>
      <c r="G56" s="39"/>
      <c r="H56" s="36"/>
      <c r="I56" s="39"/>
      <c r="J56" s="36"/>
      <c r="K56" s="36"/>
      <c r="L56" s="37"/>
      <c r="M56" s="37"/>
      <c r="N56" s="36"/>
      <c r="O56" s="37"/>
    </row>
    <row r="57" spans="1:31" ht="15.75" customHeight="1">
      <c r="A57" s="36"/>
      <c r="B57" s="393">
        <v>1</v>
      </c>
      <c r="C57" t="s">
        <v>333</v>
      </c>
      <c r="D57"/>
      <c r="E57"/>
      <c r="F57"/>
      <c r="G57" s="39"/>
      <c r="H57" s="36"/>
      <c r="I57" s="39"/>
      <c r="J57" s="36"/>
      <c r="K57" s="36"/>
      <c r="L57" s="95">
        <f>IF('Data Entry'!I41&gt;0,IF('Data Entry'!I41&lt;100,L9,IF('Data Entry'!I41&lt;500,L17,IF('Data Entry'!I41&lt;600,L25,L27))),0)</f>
        <v>1.3422000000000001</v>
      </c>
      <c r="M57" s="37"/>
      <c r="N57" s="70">
        <f>IF('Data Entry'!L41&gt;0,IF('Data Entry'!L41&lt;100,N9,IF('Data Entry'!L41&lt;500,N17,IF('Data Entry'!L41&lt;600,N25,N27))),0)</f>
        <v>1.5551999999999999</v>
      </c>
      <c r="O57" s="37"/>
    </row>
    <row r="58" spans="1:31" ht="15.75" customHeight="1">
      <c r="A58" s="36"/>
      <c r="B58" s="393">
        <v>2</v>
      </c>
      <c r="C58" t="s">
        <v>334</v>
      </c>
      <c r="D58"/>
      <c r="E58"/>
      <c r="F58"/>
      <c r="G58" s="39"/>
      <c r="H58" s="36"/>
      <c r="I58" s="39"/>
      <c r="J58" s="36"/>
      <c r="K58" s="36"/>
      <c r="L58" s="70">
        <f>IF(AND('Data Entry'!I50=0,'Data Entry'!$A$27="X"),1.158,IF('Data Entry'!I50&gt;0,IF('Data Entry'!I50&lt;100,L34,IF('Data Entry'!I50&lt;500,L42,IF('Data Entry'!I50&lt;600,L50,L52))),0))</f>
        <v>0</v>
      </c>
      <c r="M58" s="37"/>
      <c r="N58" s="70">
        <f>IF(AND('Data Entry'!L50=0,'Data Entry'!$A$27="X"),1.268,IF('Data Entry'!L50&gt;0,IF('Data Entry'!L50&lt;100,N34,IF('Data Entry'!L50&lt;500,N42,IF('Data Entry'!L50&lt;600,N50,N52))),0))</f>
        <v>0</v>
      </c>
      <c r="O58" s="37"/>
    </row>
    <row r="59" spans="1:31" ht="15.75" customHeight="1">
      <c r="A59" s="36"/>
      <c r="B59" s="393">
        <v>3</v>
      </c>
      <c r="C59" s="96" t="s">
        <v>335</v>
      </c>
      <c r="D59" s="97"/>
      <c r="E59" s="97"/>
      <c r="F59" s="97"/>
      <c r="G59" s="98"/>
      <c r="H59" s="99"/>
      <c r="I59" s="98"/>
      <c r="J59" s="99"/>
      <c r="K59" s="99"/>
      <c r="L59" s="70">
        <f>IF(StudCntK8CY=0,0,IF(OR('Data Entry'!B29="X",'Data Entry'!B30="X",'Data Entry'!B31="X",'Data Entry'!B32="X"),Calculations!L58,Calculations!L57))</f>
        <v>1.3422000000000001</v>
      </c>
      <c r="M59" s="100"/>
      <c r="N59" s="70">
        <f>IF(StudCnt912CY=0,0,IF(OR('Data Entry'!B29="X",'Data Entry'!B30="X",'Data Entry'!B31="X",'Data Entry'!B32="X"),Calculations!N58,Calculations!N57))</f>
        <v>1.5551999999999999</v>
      </c>
      <c r="O59" s="37"/>
    </row>
    <row r="61" spans="1:31" ht="13">
      <c r="A61" s="94"/>
      <c r="C61" s="94"/>
      <c r="D61" s="94"/>
      <c r="E61" s="94"/>
      <c r="F61" s="94"/>
    </row>
    <row r="62" spans="1:31" ht="13">
      <c r="A62" s="94"/>
      <c r="B62" s="101" t="s">
        <v>336</v>
      </c>
      <c r="C62" s="94"/>
      <c r="D62" s="94"/>
      <c r="E62" s="94"/>
      <c r="F62" s="94"/>
      <c r="T62" s="465"/>
      <c r="U62" s="465"/>
      <c r="V62" s="465"/>
      <c r="W62" s="465"/>
      <c r="X62" s="465"/>
      <c r="Y62" s="465"/>
      <c r="Z62" s="465"/>
      <c r="AA62" s="465"/>
      <c r="AB62" s="465"/>
      <c r="AC62" s="465"/>
      <c r="AD62" s="465"/>
      <c r="AE62" s="465"/>
    </row>
    <row r="63" spans="1:31" ht="12.75" customHeight="1">
      <c r="B63" s="609" t="s">
        <v>337</v>
      </c>
      <c r="C63" s="609"/>
      <c r="D63" s="609"/>
      <c r="E63" s="609"/>
      <c r="F63" s="609"/>
      <c r="G63" s="609"/>
      <c r="H63" s="609"/>
      <c r="I63" s="609"/>
      <c r="J63" s="609"/>
      <c r="K63" s="609"/>
      <c r="L63" s="609"/>
      <c r="M63" s="609"/>
      <c r="N63" s="609"/>
      <c r="O63" s="609"/>
      <c r="P63" s="102"/>
    </row>
    <row r="64" spans="1:31" ht="12.75" customHeight="1">
      <c r="B64" s="609"/>
      <c r="C64" s="609"/>
      <c r="D64" s="609"/>
      <c r="E64" s="609"/>
      <c r="F64" s="609"/>
      <c r="G64" s="609"/>
      <c r="H64" s="609"/>
      <c r="I64" s="609"/>
      <c r="J64" s="609"/>
      <c r="K64" s="609"/>
      <c r="L64" s="609"/>
      <c r="M64" s="609"/>
      <c r="N64" s="609"/>
      <c r="O64" s="609"/>
      <c r="P64" s="102"/>
    </row>
    <row r="65" spans="1:26" ht="12.75" customHeight="1">
      <c r="B65" s="609"/>
      <c r="C65" s="609"/>
      <c r="D65" s="609"/>
      <c r="E65" s="609"/>
      <c r="F65" s="609"/>
      <c r="G65" s="609"/>
      <c r="H65" s="609"/>
      <c r="I65" s="609"/>
      <c r="J65" s="609"/>
      <c r="K65" s="609"/>
      <c r="L65" s="609"/>
      <c r="M65" s="609"/>
      <c r="N65" s="609"/>
      <c r="O65" s="609"/>
      <c r="P65" s="102"/>
    </row>
    <row r="66" spans="1:26" ht="12.75" customHeight="1">
      <c r="B66" s="609"/>
      <c r="C66" s="609"/>
      <c r="D66" s="609"/>
      <c r="E66" s="609"/>
      <c r="F66" s="609"/>
      <c r="G66" s="609"/>
      <c r="H66" s="609"/>
      <c r="I66" s="609"/>
      <c r="J66" s="609"/>
      <c r="K66" s="609"/>
      <c r="L66" s="609"/>
      <c r="M66" s="609"/>
      <c r="N66" s="609"/>
      <c r="O66" s="609"/>
      <c r="P66" s="102"/>
    </row>
    <row r="67" spans="1:26" ht="12.75" customHeight="1">
      <c r="B67" s="609"/>
      <c r="C67" s="609"/>
      <c r="D67" s="609"/>
      <c r="E67" s="609"/>
      <c r="F67" s="609"/>
      <c r="G67" s="609"/>
      <c r="H67" s="609"/>
      <c r="I67" s="609"/>
      <c r="J67" s="609"/>
      <c r="K67" s="609"/>
      <c r="L67" s="609"/>
      <c r="M67" s="609"/>
      <c r="N67" s="609"/>
      <c r="O67" s="609"/>
      <c r="P67" s="102"/>
    </row>
    <row r="68" spans="1:26" ht="18" customHeight="1">
      <c r="B68" s="609"/>
      <c r="C68" s="609"/>
      <c r="D68" s="609"/>
      <c r="E68" s="609"/>
      <c r="F68" s="609"/>
      <c r="G68" s="609"/>
      <c r="H68" s="609"/>
      <c r="I68" s="609"/>
      <c r="J68" s="609"/>
      <c r="K68" s="609"/>
      <c r="L68" s="609"/>
      <c r="M68" s="609"/>
      <c r="N68" s="609"/>
      <c r="O68" s="609"/>
      <c r="P68" s="102"/>
    </row>
    <row r="69" spans="1:26" ht="12.75" customHeight="1">
      <c r="B69" s="103"/>
      <c r="C69" s="103"/>
      <c r="D69" s="103"/>
      <c r="E69" s="103"/>
      <c r="F69" s="103"/>
      <c r="G69" s="103"/>
      <c r="H69" s="103"/>
      <c r="I69" s="103"/>
      <c r="J69" s="103"/>
      <c r="K69" s="103"/>
      <c r="L69" s="103"/>
      <c r="M69" s="103"/>
      <c r="N69" s="103"/>
      <c r="O69" s="103"/>
      <c r="P69" s="102"/>
    </row>
    <row r="70" spans="1:26" ht="12.5">
      <c r="B70" s="488" t="s">
        <v>338</v>
      </c>
      <c r="C70" s="488"/>
      <c r="D70" s="488"/>
      <c r="E70" s="488"/>
      <c r="F70" s="488"/>
      <c r="G70" s="488"/>
      <c r="H70"/>
      <c r="M70" s="5"/>
      <c r="N70" s="104"/>
      <c r="V70" s="105"/>
      <c r="W70" s="105"/>
      <c r="X70" s="105"/>
      <c r="Y70" s="105"/>
      <c r="Z70" s="105"/>
    </row>
    <row r="71" spans="1:26" ht="12.75" customHeight="1">
      <c r="B71"/>
      <c r="C71"/>
      <c r="D71"/>
      <c r="E71" s="5"/>
      <c r="F71" s="106" t="s">
        <v>285</v>
      </c>
      <c r="G71" s="396" t="s">
        <v>284</v>
      </c>
      <c r="H71" s="107"/>
      <c r="M71" s="5"/>
      <c r="N71" s="104"/>
      <c r="R71" s="5"/>
    </row>
    <row r="72" spans="1:26" ht="12.5">
      <c r="B72" t="s">
        <v>339</v>
      </c>
      <c r="C72"/>
      <c r="D72"/>
      <c r="E72" s="108"/>
      <c r="F72" s="109">
        <f>'Data Entry'!I60*0.06</f>
        <v>5.3410000000000002</v>
      </c>
      <c r="G72" s="110">
        <f>'Data Entry'!I61*0.04</f>
        <v>3.5609999999999999</v>
      </c>
      <c r="H72" s="111"/>
      <c r="N72" s="112"/>
      <c r="R72" s="108"/>
    </row>
    <row r="73" spans="1:26" ht="12.75" customHeight="1">
      <c r="B73" t="s">
        <v>340</v>
      </c>
      <c r="C73"/>
      <c r="D73"/>
      <c r="E73" s="108"/>
      <c r="F73" s="109">
        <f>'Data Entry'!J60*0.06*0.95</f>
        <v>0</v>
      </c>
      <c r="G73" s="110">
        <f>'Data Entry'!J61*0.04*0.95</f>
        <v>0</v>
      </c>
      <c r="H73" s="111"/>
      <c r="M73" s="5"/>
      <c r="N73" s="104"/>
      <c r="Q73"/>
      <c r="R73" s="108"/>
    </row>
    <row r="74" spans="1:26" ht="12.75" customHeight="1">
      <c r="B74" t="s">
        <v>341</v>
      </c>
      <c r="C74" s="113"/>
      <c r="D74" s="113"/>
      <c r="E74" s="108"/>
      <c r="F74" s="109">
        <f>'Data Entry'!K60*0.06*0.85</f>
        <v>0</v>
      </c>
      <c r="G74" s="110">
        <f>'Data Entry'!K59*0.04*0.85</f>
        <v>0</v>
      </c>
      <c r="H74" s="111"/>
      <c r="I74"/>
      <c r="L74" t="s">
        <v>285</v>
      </c>
      <c r="M74" s="114" t="s">
        <v>6</v>
      </c>
      <c r="N74" s="115">
        <f>'BSA55'!H50*F75</f>
        <v>26774.43</v>
      </c>
      <c r="Q74" s="5"/>
      <c r="R74" s="108"/>
    </row>
    <row r="75" spans="1:26" ht="12.5">
      <c r="B75" t="s">
        <v>237</v>
      </c>
      <c r="C75" s="113"/>
      <c r="D75" s="113"/>
      <c r="E75" s="108"/>
      <c r="F75" s="109">
        <f>SUM(F72:F74)</f>
        <v>5.3410000000000002</v>
      </c>
      <c r="G75" s="110">
        <f>SUM(G72:G74)</f>
        <v>3.5609999999999999</v>
      </c>
      <c r="H75" s="111"/>
      <c r="I75"/>
      <c r="L75" t="s">
        <v>284</v>
      </c>
      <c r="M75" s="114" t="s">
        <v>6</v>
      </c>
      <c r="N75" s="116">
        <f>'BSA55'!H50*G75</f>
        <v>17851.29</v>
      </c>
      <c r="P75"/>
      <c r="Q75" s="108"/>
      <c r="R75" s="108"/>
    </row>
    <row r="76" spans="1:26" ht="12.75" customHeight="1">
      <c r="B76" s="113"/>
      <c r="C76" s="113"/>
      <c r="D76" s="113"/>
      <c r="E76"/>
      <c r="F76" s="113"/>
      <c r="G76" s="113"/>
      <c r="H76" s="113"/>
      <c r="I76"/>
      <c r="M76" s="5"/>
      <c r="N76" s="104"/>
      <c r="P76"/>
      <c r="Q76" s="108"/>
    </row>
    <row r="77" spans="1:26" ht="12.75" customHeight="1">
      <c r="A77" s="117"/>
      <c r="B77" s="608" t="s">
        <v>342</v>
      </c>
      <c r="C77" s="608"/>
      <c r="D77" s="608"/>
      <c r="E77" s="608"/>
      <c r="F77" s="608"/>
      <c r="G77" s="608"/>
      <c r="H77" s="113"/>
      <c r="I77"/>
      <c r="M77" s="5"/>
      <c r="N77" s="104"/>
      <c r="P77"/>
      <c r="Q77" s="108"/>
    </row>
    <row r="78" spans="1:26" ht="12.5">
      <c r="A78" s="118"/>
      <c r="B78" s="608"/>
      <c r="C78" s="608"/>
      <c r="D78" s="608"/>
      <c r="E78" s="608"/>
      <c r="F78" s="608"/>
      <c r="G78" s="608"/>
      <c r="H78"/>
      <c r="I78"/>
      <c r="M78" s="5"/>
      <c r="N78" s="104"/>
      <c r="P78"/>
      <c r="Q78" s="108"/>
    </row>
    <row r="79" spans="1:26" ht="12.75" customHeight="1">
      <c r="A79" s="118"/>
      <c r="B79" s="118"/>
      <c r="C79" s="118"/>
      <c r="M79" s="119"/>
      <c r="N79" s="120"/>
      <c r="P79" s="498"/>
      <c r="Q79" s="498"/>
      <c r="R79" s="498"/>
    </row>
    <row r="80" spans="1:26" ht="12.75" customHeight="1">
      <c r="A80" s="118"/>
      <c r="B80" s="118"/>
      <c r="C80" s="118"/>
      <c r="D80"/>
      <c r="F80" s="393"/>
      <c r="G80"/>
      <c r="H80"/>
      <c r="I80"/>
      <c r="L80"/>
      <c r="M80" s="5"/>
      <c r="N80" s="121"/>
      <c r="P80" s="498"/>
      <c r="Q80" s="498"/>
      <c r="R80" s="498"/>
    </row>
    <row r="81" spans="1:25" ht="12.5">
      <c r="A81" s="118"/>
      <c r="B81" s="118"/>
      <c r="C81" s="118"/>
      <c r="L81"/>
      <c r="M81" s="5"/>
      <c r="N81" s="121"/>
      <c r="P81" s="400"/>
      <c r="Q81" s="400"/>
      <c r="R81" s="400"/>
    </row>
    <row r="82" spans="1:25" ht="12.5">
      <c r="A82" s="118"/>
      <c r="B82" s="118"/>
      <c r="C82" s="118"/>
      <c r="L82"/>
      <c r="M82" s="5"/>
      <c r="N82" s="120"/>
      <c r="P82" s="400"/>
      <c r="Q82" s="400"/>
      <c r="R82" s="400"/>
    </row>
    <row r="83" spans="1:25" s="438" customFormat="1">
      <c r="A83" s="38"/>
      <c r="B83" s="38"/>
      <c r="C83" s="38"/>
      <c r="D83" s="38"/>
      <c r="E83" s="38"/>
      <c r="F83" s="38"/>
      <c r="G83" s="38"/>
      <c r="H83" s="38"/>
      <c r="I83" s="38"/>
      <c r="J83" s="38"/>
      <c r="K83" s="38"/>
      <c r="L83" s="38"/>
      <c r="M83" s="38"/>
      <c r="N83" s="38"/>
      <c r="O83" s="38"/>
      <c r="W83" s="439"/>
    </row>
    <row r="84" spans="1:25" s="438" customFormat="1" ht="12.75" customHeight="1">
      <c r="A84" s="38"/>
      <c r="B84" s="38"/>
      <c r="C84" s="38"/>
      <c r="D84" s="38"/>
      <c r="E84" s="38"/>
      <c r="F84" s="38"/>
      <c r="G84" s="38"/>
      <c r="H84" s="38"/>
      <c r="I84" s="38"/>
      <c r="J84" s="38"/>
      <c r="K84" s="38"/>
      <c r="L84" s="38"/>
      <c r="M84" s="38"/>
      <c r="N84" s="38"/>
      <c r="O84" s="38"/>
      <c r="W84" s="439"/>
    </row>
    <row r="85" spans="1:25" s="438" customFormat="1" ht="12.75" customHeight="1">
      <c r="A85" s="38"/>
      <c r="B85" s="38"/>
      <c r="C85" s="38"/>
      <c r="D85" s="38"/>
      <c r="E85" s="38"/>
      <c r="F85" s="38"/>
      <c r="G85" s="38"/>
      <c r="H85" s="38"/>
      <c r="I85" s="38"/>
      <c r="J85" s="38"/>
      <c r="K85" s="38"/>
      <c r="L85" s="38"/>
      <c r="M85" s="38"/>
      <c r="N85" s="38"/>
      <c r="O85" s="38"/>
      <c r="W85" s="439"/>
    </row>
    <row r="86" spans="1:25" s="438" customFormat="1" ht="12.75" customHeight="1">
      <c r="A86" s="38"/>
      <c r="B86" s="38"/>
      <c r="C86" s="38"/>
      <c r="D86" s="38"/>
      <c r="E86" s="38"/>
      <c r="F86" s="38"/>
      <c r="G86" s="38"/>
      <c r="H86" s="38"/>
      <c r="I86" s="38"/>
      <c r="J86" s="38"/>
      <c r="K86" s="38"/>
      <c r="L86" s="38"/>
      <c r="M86" s="38"/>
      <c r="N86" s="38"/>
      <c r="O86" s="38"/>
      <c r="W86" s="439"/>
    </row>
    <row r="87" spans="1:25" s="438" customFormat="1" ht="12.75" customHeight="1">
      <c r="A87" s="38"/>
      <c r="B87" s="38"/>
      <c r="C87" s="38"/>
      <c r="D87" s="38"/>
      <c r="E87" s="38"/>
      <c r="F87" s="38"/>
      <c r="G87" s="38"/>
      <c r="H87" s="38"/>
      <c r="I87" s="38"/>
      <c r="J87" s="38"/>
      <c r="K87" s="38"/>
      <c r="L87" s="38"/>
      <c r="M87" s="38"/>
      <c r="N87" s="38"/>
      <c r="O87" s="38"/>
      <c r="W87" s="439"/>
    </row>
    <row r="88" spans="1:25" s="438" customFormat="1">
      <c r="A88" s="38"/>
      <c r="B88" s="38"/>
      <c r="C88" s="38"/>
      <c r="D88" s="38"/>
      <c r="E88" s="38"/>
      <c r="F88" s="38"/>
      <c r="G88" s="38"/>
      <c r="H88" s="38"/>
      <c r="I88" s="38"/>
      <c r="J88" s="38"/>
      <c r="K88" s="38"/>
      <c r="L88" s="38"/>
      <c r="M88" s="38"/>
      <c r="N88" s="38"/>
      <c r="O88" s="38"/>
      <c r="W88" s="439"/>
    </row>
    <row r="89" spans="1:25" s="438" customFormat="1">
      <c r="A89" s="38"/>
      <c r="B89" s="38"/>
      <c r="C89" s="38"/>
      <c r="D89" s="38"/>
      <c r="E89" s="38"/>
      <c r="F89" s="38"/>
      <c r="G89" s="38"/>
      <c r="H89" s="38"/>
      <c r="I89" s="38"/>
      <c r="J89" s="38"/>
      <c r="K89" s="38"/>
      <c r="L89" s="38"/>
      <c r="M89" s="38"/>
      <c r="N89" s="38"/>
      <c r="O89" s="38"/>
      <c r="T89" s="440"/>
      <c r="X89" s="610"/>
      <c r="Y89" s="610"/>
    </row>
    <row r="90" spans="1:25" s="438" customFormat="1">
      <c r="A90" s="38"/>
      <c r="B90" s="38"/>
      <c r="C90" s="38"/>
      <c r="D90" s="38"/>
      <c r="E90" s="38"/>
      <c r="F90" s="38"/>
      <c r="G90" s="38"/>
      <c r="H90" s="38"/>
      <c r="I90" s="38"/>
      <c r="J90" s="38"/>
      <c r="K90" s="38"/>
      <c r="L90" s="38"/>
      <c r="M90" s="38"/>
      <c r="N90" s="38"/>
      <c r="O90" s="38"/>
    </row>
  </sheetData>
  <sheetProtection sheet="1" formatCells="0" formatColumns="0" formatRows="0"/>
  <mergeCells count="10">
    <mergeCell ref="B77:G78"/>
    <mergeCell ref="T62:AE62"/>
    <mergeCell ref="B63:O68"/>
    <mergeCell ref="L1:M1"/>
    <mergeCell ref="X89:Y89"/>
    <mergeCell ref="P79:R80"/>
    <mergeCell ref="A1:D1"/>
    <mergeCell ref="E1:G1"/>
    <mergeCell ref="J1:K1"/>
    <mergeCell ref="B70:G70"/>
  </mergeCells>
  <hyperlinks>
    <hyperlink ref="C31:O31" location="'Data Entry'!B22" display="Table 2 - Charter Holder Total Charter School Counts (only calculated if one or more criteria are checked on the Data Entry Tab)" xr:uid="{00000000-0004-0000-0800-000000000000}"/>
    <hyperlink ref="B57" r:id="rId1" display="IndividualCharterSchoolCounts" xr:uid="{00000000-0004-0000-0800-000001000000}"/>
    <hyperlink ref="B58" r:id="rId2" display="IndividualCharterSchoolCounts" xr:uid="{00000000-0004-0000-0800-000002000000}"/>
    <hyperlink ref="B59" r:id="rId3" display="IndividualCharterSchoolCounts" xr:uid="{00000000-0004-0000-0800-000003000000}"/>
    <hyperlink ref="C6:G6" r:id="rId4" display="Table 1 - Individual Charter School Counts " xr:uid="{00000000-0004-0000-0800-000004000000}"/>
    <hyperlink ref="C6:H6" location="'Data Entry'!B13" display="Table 1 - Individual Charter School Counts " xr:uid="{00000000-0004-0000-0800-000005000000}"/>
    <hyperlink ref="C31" location="'Data Entry'!B22" display="Table 2 - Charter Holder Total Charter School Counts (only calculated if one or more criteria are checked on the Data Entry Tab)" xr:uid="{00000000-0004-0000-0800-000006000000}"/>
  </hyperlinks>
  <printOptions horizontalCentered="1"/>
  <pageMargins left="0.2" right="0.2" top="0.25" bottom="0.25" header="0.5" footer="0.25"/>
  <pageSetup scale="63" orientation="portrait" r:id="rId5"/>
  <headerFooter>
    <oddFooter>&amp;L&amp;"Arial,Bold"Rev. 5/25 Arizona Department of Education and Auditor General&amp;R&amp;"Arial,Bold"Calculations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activeCell="D79" sqref="D79"/>
    </sheetView>
  </sheetViews>
  <sheetFormatPr defaultColWidth="9" defaultRowHeight="12.5"/>
  <cols>
    <col min="1" max="1" width="43.54296875" style="122" bestFit="1" customWidth="1"/>
    <col min="2" max="2" width="22.453125" style="122" bestFit="1" customWidth="1"/>
    <col min="3" max="3" width="22.453125" style="122" customWidth="1"/>
    <col min="4" max="4" width="22.453125" style="122" bestFit="1" customWidth="1"/>
    <col min="5" max="5" width="22.453125" style="122" customWidth="1"/>
    <col min="6" max="6" width="17.453125" style="122" customWidth="1"/>
    <col min="7" max="7" width="22.453125" style="122" customWidth="1"/>
    <col min="8" max="8" width="17.54296875" style="122" bestFit="1" customWidth="1"/>
    <col min="9" max="9" width="14.453125" style="122" customWidth="1"/>
    <col min="10" max="10" width="14.54296875" style="122" customWidth="1"/>
    <col min="11" max="15" width="9" style="122" customWidth="1"/>
    <col min="16" max="16384" width="9" style="122"/>
  </cols>
  <sheetData>
    <row r="1" spans="1:10" ht="13">
      <c r="A1" s="36" t="s">
        <v>0</v>
      </c>
      <c r="B1" s="493" t="str">
        <f>CharterName</f>
        <v>Tucson International Academy</v>
      </c>
      <c r="C1" s="493"/>
      <c r="D1" s="36" t="s">
        <v>1</v>
      </c>
      <c r="E1" s="612" t="str">
        <f>Cover!M1</f>
        <v>Pima</v>
      </c>
      <c r="F1" s="493"/>
      <c r="G1" s="493"/>
      <c r="H1" s="36" t="s">
        <v>2</v>
      </c>
      <c r="I1" s="494" t="str">
        <f>CTD</f>
        <v>108714000</v>
      </c>
      <c r="J1" s="494"/>
    </row>
    <row r="2" spans="1:10" ht="13">
      <c r="A2" s="36"/>
      <c r="B2" s="156"/>
      <c r="C2" s="5"/>
      <c r="D2" s="36"/>
      <c r="E2" s="156"/>
      <c r="F2" s="5"/>
      <c r="G2" s="5"/>
      <c r="H2"/>
      <c r="I2" s="36"/>
      <c r="J2" s="5"/>
    </row>
    <row r="3" spans="1:10" ht="13">
      <c r="A3" s="613" t="str">
        <f>IF(CharterName&lt;&gt;0,CharterName,"")</f>
        <v>Tucson International Academy</v>
      </c>
      <c r="B3" s="613"/>
      <c r="C3" s="613"/>
      <c r="D3" s="613"/>
      <c r="E3" s="613"/>
      <c r="F3" s="613"/>
      <c r="G3" s="613"/>
      <c r="H3" s="613"/>
      <c r="I3" s="613"/>
      <c r="J3" s="613"/>
    </row>
    <row r="4" spans="1:10" ht="13">
      <c r="A4" s="465" t="s">
        <v>343</v>
      </c>
      <c r="B4" s="465"/>
      <c r="C4" s="465"/>
      <c r="D4" s="465"/>
      <c r="E4" s="465"/>
      <c r="F4" s="465"/>
      <c r="G4" s="465"/>
      <c r="H4" s="465"/>
      <c r="I4" s="465"/>
      <c r="J4" s="465"/>
    </row>
    <row r="5" spans="1:10" ht="13">
      <c r="A5" s="465" t="s">
        <v>476</v>
      </c>
      <c r="B5" s="465"/>
      <c r="C5" s="465"/>
      <c r="D5" s="465"/>
      <c r="E5" s="465"/>
      <c r="F5" s="465"/>
      <c r="G5" s="465"/>
      <c r="H5" s="465"/>
      <c r="I5" s="465"/>
      <c r="J5" s="465"/>
    </row>
    <row r="6" spans="1:10" s="123" customFormat="1" ht="13.5" thickBot="1">
      <c r="A6" s="157"/>
      <c r="B6" s="157"/>
      <c r="C6" s="157"/>
      <c r="D6" s="157"/>
      <c r="E6" s="157"/>
      <c r="F6" s="157"/>
      <c r="G6" s="157"/>
      <c r="H6" s="157"/>
      <c r="I6" s="157"/>
      <c r="J6" s="158" t="s">
        <v>344</v>
      </c>
    </row>
    <row r="7" spans="1:10" ht="39">
      <c r="A7" s="4" t="s">
        <v>345</v>
      </c>
      <c r="B7" s="159" t="s">
        <v>346</v>
      </c>
      <c r="C7" s="159" t="s">
        <v>347</v>
      </c>
      <c r="D7" s="159" t="s">
        <v>348</v>
      </c>
      <c r="E7" s="159" t="s">
        <v>349</v>
      </c>
      <c r="F7" s="159" t="s">
        <v>350</v>
      </c>
      <c r="G7" s="159" t="s">
        <v>351</v>
      </c>
      <c r="H7" s="159" t="s">
        <v>352</v>
      </c>
      <c r="I7"/>
      <c r="J7"/>
    </row>
    <row r="8" spans="1:10">
      <c r="A8" s="125" t="s">
        <v>268</v>
      </c>
      <c r="B8" s="160">
        <f>NonAOIStudCntPSDCY</f>
        <v>0</v>
      </c>
      <c r="C8" s="160">
        <v>0</v>
      </c>
      <c r="D8" s="160">
        <v>0</v>
      </c>
      <c r="E8" s="160">
        <f>IF(AND(B8=0,C8=0,D8=0),0,1.45)</f>
        <v>0</v>
      </c>
      <c r="F8" s="160">
        <f>B8*E8</f>
        <v>0</v>
      </c>
      <c r="G8" s="160">
        <f>E8*C8</f>
        <v>0</v>
      </c>
      <c r="H8" s="160">
        <f>E8*D8</f>
        <v>0</v>
      </c>
      <c r="I8"/>
      <c r="J8"/>
    </row>
    <row r="9" spans="1:10">
      <c r="A9" s="125" t="s">
        <v>353</v>
      </c>
      <c r="B9" s="160">
        <f>NonAOIStudCntK8CY</f>
        <v>286</v>
      </c>
      <c r="C9" s="160">
        <f>AOIFTStudCntK8CY</f>
        <v>0</v>
      </c>
      <c r="D9" s="160">
        <f>AOIPTStudCntK8CY</f>
        <v>0</v>
      </c>
      <c r="E9" s="160">
        <f>IF(AND(B9=0,C9=0,D9=0),0,IF(OR('Data Entry'!B29="X",'Data Entry'!B30="X",'Data Entry'!B31="X",'Data Entry'!B32="X"),Calculations!L58,Calculations!L57))</f>
        <v>1.3422000000000001</v>
      </c>
      <c r="F9" s="160">
        <f>B9*E9</f>
        <v>383.86919999999998</v>
      </c>
      <c r="G9" s="160">
        <f>E9*C9</f>
        <v>0</v>
      </c>
      <c r="H9" s="160">
        <f>E9*D9</f>
        <v>0</v>
      </c>
      <c r="I9"/>
      <c r="J9"/>
    </row>
    <row r="10" spans="1:10">
      <c r="A10" s="125" t="s">
        <v>270</v>
      </c>
      <c r="B10" s="160">
        <f>NonAOIStudCnt912CY</f>
        <v>107</v>
      </c>
      <c r="C10" s="160">
        <f>AOIFTStudCnt912CY</f>
        <v>0</v>
      </c>
      <c r="D10" s="160">
        <f>AOIPTStudCnt912CY</f>
        <v>0</v>
      </c>
      <c r="E10" s="160">
        <f>IF(AND(B10=0,C10=0,D10=0),0,IF(OR('Data Entry'!B29="X",'Data Entry'!B30="X",'Data Entry'!B31="X",'Data Entry'!B32="X"),Calculations!N58,Calculations!N57))</f>
        <v>1.5551999999999999</v>
      </c>
      <c r="F10" s="160">
        <f>B10*E10</f>
        <v>166.40639999999999</v>
      </c>
      <c r="G10" s="160">
        <f>E10*C10</f>
        <v>0</v>
      </c>
      <c r="H10" s="160">
        <f>E10*D10</f>
        <v>0</v>
      </c>
      <c r="I10"/>
      <c r="J10"/>
    </row>
    <row r="11" spans="1:10" ht="13">
      <c r="A11" s="161" t="s">
        <v>354</v>
      </c>
      <c r="B11" s="162">
        <f>SUM(B8:B10)</f>
        <v>393</v>
      </c>
      <c r="C11" s="163">
        <f>SUM(C8:C10)</f>
        <v>0</v>
      </c>
      <c r="D11" s="163">
        <f>SUM(D8:D10)</f>
        <v>0</v>
      </c>
      <c r="E11" s="164"/>
      <c r="F11" s="164"/>
      <c r="G11" s="164"/>
      <c r="H11" s="164"/>
      <c r="I11"/>
      <c r="J11"/>
    </row>
    <row r="12" spans="1:10" ht="12.75" customHeight="1">
      <c r="A12" s="165" t="s">
        <v>355</v>
      </c>
      <c r="B12" s="166"/>
      <c r="C12" s="164"/>
      <c r="D12" s="163">
        <f>SUM(B11:D11)</f>
        <v>393</v>
      </c>
      <c r="E12" s="164"/>
      <c r="F12" s="164"/>
      <c r="G12" s="164"/>
      <c r="H12" s="164"/>
      <c r="I12"/>
      <c r="J12"/>
    </row>
    <row r="13" spans="1:10" ht="12.75" customHeight="1">
      <c r="A13" s="94" t="s">
        <v>356</v>
      </c>
      <c r="B13" s="167"/>
      <c r="C13" s="164"/>
      <c r="D13" s="164"/>
      <c r="E13" s="164"/>
      <c r="F13" s="163">
        <f>((B8*E8)+(B9*E9)+(B10*E10))</f>
        <v>550.27560000000005</v>
      </c>
      <c r="G13" s="163">
        <f>((C8*E8)+(C9*E9)+(C10*E10))</f>
        <v>0</v>
      </c>
      <c r="H13" s="163">
        <f>((D8*E8)+(D9*E9)+(D10*E10))</f>
        <v>0</v>
      </c>
      <c r="I13"/>
      <c r="J13"/>
    </row>
    <row r="14" spans="1:10" ht="12.75" customHeight="1" thickBot="1">
      <c r="A14" s="168" t="s">
        <v>357</v>
      </c>
      <c r="B14" s="169"/>
      <c r="C14" s="169"/>
      <c r="D14" s="169"/>
      <c r="E14" s="169"/>
      <c r="F14" s="170"/>
      <c r="G14" s="170"/>
      <c r="H14" s="171">
        <f>((B8*E8)+(B9*E9)+(B10*E10))+((C8*E8)+(C9*E9)+(C10*E10))+((D8*E8)+(D9*E9)+(D10*E10))</f>
        <v>550.27560000000005</v>
      </c>
      <c r="I14" s="157"/>
      <c r="J14" s="157"/>
    </row>
    <row r="15" spans="1:10" ht="39" customHeight="1">
      <c r="A15" s="172" t="s">
        <v>358</v>
      </c>
      <c r="B15" s="173" t="s">
        <v>346</v>
      </c>
      <c r="C15" s="173" t="s">
        <v>347</v>
      </c>
      <c r="D15" s="173" t="s">
        <v>348</v>
      </c>
      <c r="E15" s="173" t="s">
        <v>349</v>
      </c>
      <c r="F15" s="173" t="s">
        <v>350</v>
      </c>
      <c r="G15" s="173" t="s">
        <v>351</v>
      </c>
      <c r="H15" s="173" t="s">
        <v>352</v>
      </c>
      <c r="I15"/>
      <c r="J15"/>
    </row>
    <row r="16" spans="1:10">
      <c r="A16" s="5" t="s">
        <v>359</v>
      </c>
      <c r="B16" s="160">
        <f>NonAOIStudCntELL</f>
        <v>53.728999999999999</v>
      </c>
      <c r="C16" s="160">
        <f>AOIFTStudCntELL</f>
        <v>0</v>
      </c>
      <c r="D16" s="160">
        <f>AOIPTStudCntELL</f>
        <v>0</v>
      </c>
      <c r="E16" s="160">
        <v>0.115</v>
      </c>
      <c r="F16" s="160">
        <f>E16*NonAOIStudCntELL</f>
        <v>6.1787999999999998</v>
      </c>
      <c r="G16" s="160">
        <f>E16*AOIFTStudCntELL</f>
        <v>0</v>
      </c>
      <c r="H16" s="160">
        <f>E16*AOIPTStudCntELL</f>
        <v>0</v>
      </c>
      <c r="I16"/>
      <c r="J16"/>
    </row>
    <row r="17" spans="1:10">
      <c r="A17" s="5" t="s">
        <v>285</v>
      </c>
      <c r="B17" s="160">
        <f>NonAOIStudCntK3</f>
        <v>89.022000000000006</v>
      </c>
      <c r="C17" s="160">
        <f>AOIFTStudCntK3</f>
        <v>0</v>
      </c>
      <c r="D17" s="160">
        <f>AOIPTStudCntK3</f>
        <v>0</v>
      </c>
      <c r="E17" s="160">
        <v>0.06</v>
      </c>
      <c r="F17" s="160">
        <f>E17*NonAOIStudCntK3</f>
        <v>5.3413000000000004</v>
      </c>
      <c r="G17" s="160">
        <f>E17*AOIFTStudCntK3</f>
        <v>0</v>
      </c>
      <c r="H17" s="160">
        <f>E17*AOIPTStudCntK3</f>
        <v>0</v>
      </c>
      <c r="I17"/>
      <c r="J17"/>
    </row>
    <row r="18" spans="1:10" ht="12.75" customHeight="1">
      <c r="A18" s="5" t="s">
        <v>360</v>
      </c>
      <c r="B18" s="160">
        <f>NonAOIStudCntK3Read</f>
        <v>89.022000000000006</v>
      </c>
      <c r="C18" s="160">
        <f>AOIFTStudCntK3Read</f>
        <v>0</v>
      </c>
      <c r="D18" s="160">
        <f>AOIPTStudCntK3Read</f>
        <v>0</v>
      </c>
      <c r="E18" s="160">
        <v>0.04</v>
      </c>
      <c r="F18" s="160">
        <f>E18*NonAOIStudCntK3Read</f>
        <v>3.5609000000000002</v>
      </c>
      <c r="G18" s="160">
        <f>E18*AOIFTStudCntK3Read</f>
        <v>0</v>
      </c>
      <c r="H18" s="160">
        <f>E18*AOIPTStudCntK3Read</f>
        <v>0</v>
      </c>
      <c r="I18"/>
      <c r="J18"/>
    </row>
    <row r="19" spans="1:10" ht="11.25" customHeight="1">
      <c r="A19" s="5" t="s">
        <v>361</v>
      </c>
      <c r="B19" s="160">
        <f>NonAOIStudCntHI</f>
        <v>0</v>
      </c>
      <c r="C19" s="160">
        <f>AOIFTStudCntHI</f>
        <v>0</v>
      </c>
      <c r="D19" s="160">
        <f>AOIPTStudCntHI</f>
        <v>0</v>
      </c>
      <c r="E19" s="160">
        <v>4.7709999999999999</v>
      </c>
      <c r="F19" s="160">
        <f>E19*NonAOIStudCntHI</f>
        <v>0</v>
      </c>
      <c r="G19" s="160">
        <f>E19*AOIFTStudCntHI</f>
        <v>0</v>
      </c>
      <c r="H19" s="160">
        <f>E19*AOIPTStudCntHI</f>
        <v>0</v>
      </c>
      <c r="I19"/>
      <c r="J19"/>
    </row>
    <row r="20" spans="1:10">
      <c r="A20" s="174" t="s">
        <v>362</v>
      </c>
      <c r="B20" s="160">
        <f>NonAOIStudCntMDR.AR.SIDR</f>
        <v>7.1849999999999996</v>
      </c>
      <c r="C20" s="160">
        <f>AOIFTStudCntMDR.AR.SIDR</f>
        <v>0</v>
      </c>
      <c r="D20" s="160">
        <f>AOIPTStudCntMDR.AR.SIDR</f>
        <v>0</v>
      </c>
      <c r="E20" s="160">
        <v>6.024</v>
      </c>
      <c r="F20" s="160">
        <f>E20*NonAOIStudCntMDR.AR.SIDR</f>
        <v>43.282400000000003</v>
      </c>
      <c r="G20" s="160">
        <f>E20*AOIFTStudCntMDR.AR.SIDR</f>
        <v>0</v>
      </c>
      <c r="H20" s="160">
        <f>E20*AOIPTStudCntMDR.AR.SIDR</f>
        <v>0</v>
      </c>
      <c r="I20"/>
      <c r="J20"/>
    </row>
    <row r="21" spans="1:10" ht="12.75" customHeight="1">
      <c r="A21" s="174" t="s">
        <v>363</v>
      </c>
      <c r="B21" s="160">
        <f>NonAOIStudCntMDSC.ASC.SIDSC</f>
        <v>0</v>
      </c>
      <c r="C21" s="160">
        <f>AOIFTStudCntMDSC.ASC.SIDSC</f>
        <v>0</v>
      </c>
      <c r="D21" s="160">
        <f>AOIPTStudCntMDSC.ASC.SIDSC</f>
        <v>0</v>
      </c>
      <c r="E21" s="160">
        <v>5.9880000000000004</v>
      </c>
      <c r="F21" s="160">
        <f>E21*NonAOIStudCntMDSC.ASC.SIDSC</f>
        <v>0</v>
      </c>
      <c r="G21" s="160">
        <f>E21*AOIFTStudCntMDSC.ASC.SIDSC</f>
        <v>0</v>
      </c>
      <c r="H21" s="160">
        <f>E21*AOIPTStudCntMDSC.ASC.SIDSC</f>
        <v>0</v>
      </c>
      <c r="I21"/>
      <c r="J21"/>
    </row>
    <row r="22" spans="1:10">
      <c r="A22" s="174" t="s">
        <v>364</v>
      </c>
      <c r="B22" s="160">
        <f>NonAOIStudCntMDSSI</f>
        <v>0</v>
      </c>
      <c r="C22" s="160">
        <f>AOIFTStudCntMDSSI</f>
        <v>0</v>
      </c>
      <c r="D22" s="160">
        <f>AOIPTStudCntMDSSI</f>
        <v>0</v>
      </c>
      <c r="E22" s="160">
        <v>7.9470000000000001</v>
      </c>
      <c r="F22" s="160">
        <f>E22*NonAOIStudCntMDSSI</f>
        <v>0</v>
      </c>
      <c r="G22" s="160">
        <f>E22*AOIFTStudCntMDSSI</f>
        <v>0</v>
      </c>
      <c r="H22" s="160">
        <f>E22*AOIPTStudCntMDSSI</f>
        <v>0</v>
      </c>
      <c r="I22"/>
      <c r="J22"/>
    </row>
    <row r="23" spans="1:10">
      <c r="A23" s="174" t="s">
        <v>365</v>
      </c>
      <c r="B23" s="160">
        <f>NonAOIStudCntOIR</f>
        <v>1</v>
      </c>
      <c r="C23" s="160">
        <f>AOIFTStudCntOIR</f>
        <v>0</v>
      </c>
      <c r="D23" s="160">
        <f>AOIPTStudCntOIR</f>
        <v>0</v>
      </c>
      <c r="E23" s="160">
        <v>3.1579999999999999</v>
      </c>
      <c r="F23" s="160">
        <f>E23*NonAOIStudCntOIR</f>
        <v>3.1579999999999999</v>
      </c>
      <c r="G23" s="160">
        <f>E23*AOIFTStudCntOIR</f>
        <v>0</v>
      </c>
      <c r="H23" s="160">
        <f>E23*AOIPTStudCntOIR</f>
        <v>0</v>
      </c>
      <c r="I23"/>
      <c r="J23"/>
    </row>
    <row r="24" spans="1:10">
      <c r="A24" s="174" t="s">
        <v>366</v>
      </c>
      <c r="B24" s="160">
        <f>NonAOIStudCntOISC</f>
        <v>0</v>
      </c>
      <c r="C24" s="160">
        <f>AOIFTStudCntOISC</f>
        <v>0</v>
      </c>
      <c r="D24" s="160">
        <f>AOIPTStudCntOISC</f>
        <v>0</v>
      </c>
      <c r="E24" s="160">
        <v>6.7729999999999997</v>
      </c>
      <c r="F24" s="160">
        <f>E24*NonAOIStudCntOISC</f>
        <v>0</v>
      </c>
      <c r="G24" s="160">
        <f>E24*AOIFTStudCntOISC</f>
        <v>0</v>
      </c>
      <c r="H24" s="160">
        <f>E24*AOIPTStudCntOISC</f>
        <v>0</v>
      </c>
      <c r="I24"/>
      <c r="J24"/>
    </row>
    <row r="25" spans="1:10">
      <c r="A25" s="174" t="s">
        <v>367</v>
      </c>
      <c r="B25" s="160">
        <f>NonAOIStudCntP.SD</f>
        <v>0</v>
      </c>
      <c r="C25" s="160">
        <f>AOIFTStudCntP.SD</f>
        <v>0</v>
      </c>
      <c r="D25" s="160">
        <f>AOIPTStudCntP.SD</f>
        <v>0</v>
      </c>
      <c r="E25" s="160">
        <v>3.5950000000000002</v>
      </c>
      <c r="F25" s="160">
        <f>E25*NonAOIStudCntP.SD</f>
        <v>0</v>
      </c>
      <c r="G25" s="160">
        <f>E25*AOIFTStudCntP.SD</f>
        <v>0</v>
      </c>
      <c r="H25" s="160">
        <f>E25*AOIPTStudCntP.SD</f>
        <v>0</v>
      </c>
      <c r="I25"/>
      <c r="J25"/>
    </row>
    <row r="26" spans="1:10">
      <c r="A26" s="174" t="s">
        <v>368</v>
      </c>
      <c r="B26" s="160">
        <f>NonAOIStudCntDD.ED.MIID.SLD.SLI.OHI</f>
        <v>67.108999999999995</v>
      </c>
      <c r="C26" s="160">
        <f>AOIFTStudCntDD.ED.MIID.SLD.SLI.OHI</f>
        <v>0</v>
      </c>
      <c r="D26" s="160">
        <f>AOIPTStudCntDD.ED.MIID.SLD.SLI.OHI</f>
        <v>0</v>
      </c>
      <c r="E26" s="160">
        <v>0.29199999999999998</v>
      </c>
      <c r="F26" s="160">
        <f>E26*NonAOIStudCntDD.ED.MIID.SLD.SLI.OHI</f>
        <v>19.595800000000001</v>
      </c>
      <c r="G26" s="160">
        <f>E26*AOIFTStudCntDD.ED.MIID.SLD.SLI.OHI</f>
        <v>0</v>
      </c>
      <c r="H26" s="160">
        <f>E26*AOIPTStudCntDD.ED.MIID.SLD.SLI.OHI</f>
        <v>0</v>
      </c>
      <c r="I26"/>
      <c r="J26"/>
    </row>
    <row r="27" spans="1:10">
      <c r="A27" s="174" t="s">
        <v>369</v>
      </c>
      <c r="B27" s="160">
        <f>NonAOIStudCntEDP</f>
        <v>0</v>
      </c>
      <c r="C27" s="160">
        <f>AOIFTStudCntEDP</f>
        <v>0</v>
      </c>
      <c r="D27" s="160">
        <f>AOIPTStudCntEDP</f>
        <v>0</v>
      </c>
      <c r="E27" s="160">
        <v>4.8220000000000001</v>
      </c>
      <c r="F27" s="160">
        <f>E27*NonAOIStudCntEDP</f>
        <v>0</v>
      </c>
      <c r="G27" s="160">
        <f>E27*AOIFTStudCntEDP</f>
        <v>0</v>
      </c>
      <c r="H27" s="160">
        <f>E27*AOIPTStudCntEDP</f>
        <v>0</v>
      </c>
      <c r="I27"/>
      <c r="J27"/>
    </row>
    <row r="28" spans="1:10">
      <c r="A28" s="174" t="s">
        <v>370</v>
      </c>
      <c r="B28" s="160">
        <f>NonAOIStudCntMOID</f>
        <v>0</v>
      </c>
      <c r="C28" s="160">
        <f>AOIFTStudCntMOID</f>
        <v>0</v>
      </c>
      <c r="D28" s="160">
        <f>AOIPTStudCntMOID</f>
        <v>0</v>
      </c>
      <c r="E28" s="160">
        <v>4.4210000000000003</v>
      </c>
      <c r="F28" s="160">
        <f>E28*NonAOIStudCntMOID</f>
        <v>0</v>
      </c>
      <c r="G28" s="160">
        <f>E28*AOIFTStudCntMOID</f>
        <v>0</v>
      </c>
      <c r="H28" s="160">
        <f>E28*AOIPTStudCntMOID</f>
        <v>0</v>
      </c>
      <c r="I28"/>
      <c r="J28"/>
    </row>
    <row r="29" spans="1:10">
      <c r="A29" s="174" t="s">
        <v>371</v>
      </c>
      <c r="B29" s="160">
        <f>NonAOIStudCntVI</f>
        <v>0</v>
      </c>
      <c r="C29" s="160">
        <f>AOIFTStudCntVI</f>
        <v>0</v>
      </c>
      <c r="D29" s="160">
        <f>AOIPTStudCntVI</f>
        <v>0</v>
      </c>
      <c r="E29" s="160">
        <v>4.806</v>
      </c>
      <c r="F29" s="160">
        <f>E29*NonAOIStudCntVI</f>
        <v>0</v>
      </c>
      <c r="G29" s="160">
        <f>E29*AOIFTStudCntVI</f>
        <v>0</v>
      </c>
      <c r="H29" s="160">
        <f>E29*AOIPTStudCntVI</f>
        <v>0</v>
      </c>
      <c r="I29"/>
      <c r="J29"/>
    </row>
    <row r="30" spans="1:10">
      <c r="A30" s="125" t="s">
        <v>373</v>
      </c>
      <c r="B30" s="160">
        <f>NonAOIStudCntFRPL</f>
        <v>393</v>
      </c>
      <c r="C30" s="160">
        <f>AOIFTStudCntFRPL</f>
        <v>0</v>
      </c>
      <c r="D30" s="160">
        <f>AOIPTStudCntFRPL</f>
        <v>0</v>
      </c>
      <c r="E30" s="388">
        <v>2.1999999999999999E-2</v>
      </c>
      <c r="F30" s="160">
        <f>E30*NonAOIStudCntFRPL</f>
        <v>8.6460000000000008</v>
      </c>
      <c r="G30" s="160">
        <f>E30*AOIFTStudCntFRPL</f>
        <v>0</v>
      </c>
      <c r="H30" s="160">
        <f>E30*AOIPTStudCntFRPL</f>
        <v>0</v>
      </c>
      <c r="I30"/>
      <c r="J30"/>
    </row>
    <row r="31" spans="1:10">
      <c r="A31" s="174" t="s">
        <v>372</v>
      </c>
      <c r="B31" s="160">
        <f>NonAOIStudCntG</f>
        <v>0</v>
      </c>
      <c r="C31" s="160">
        <f>AOIFTStudCntG</f>
        <v>0</v>
      </c>
      <c r="D31" s="160">
        <f>AOIPTStudCntG</f>
        <v>0</v>
      </c>
      <c r="E31" s="160">
        <v>7.0000000000000001E-3</v>
      </c>
      <c r="F31" s="160">
        <f>E31*NonAOIStudCntG</f>
        <v>0</v>
      </c>
      <c r="G31" s="160">
        <f>E31*AOIFTStudCntG</f>
        <v>0</v>
      </c>
      <c r="H31" s="160">
        <f>E31*AOIPTStudCntG</f>
        <v>0</v>
      </c>
      <c r="I31"/>
      <c r="J31"/>
    </row>
    <row r="32" spans="1:10" ht="13">
      <c r="A32" s="175" t="s">
        <v>374</v>
      </c>
      <c r="B32" s="176">
        <f>SUM(B16:B31)</f>
        <v>700.06700000000001</v>
      </c>
      <c r="C32" s="163">
        <f>SUM(C16:C31)</f>
        <v>0</v>
      </c>
      <c r="D32" s="163">
        <f>SUM(D16:D31)</f>
        <v>0</v>
      </c>
      <c r="E32" s="163"/>
      <c r="F32" s="163"/>
      <c r="G32" s="163"/>
      <c r="H32" s="163"/>
      <c r="I32"/>
      <c r="J32"/>
    </row>
    <row r="33" spans="1:10" ht="13">
      <c r="A33" s="177" t="s">
        <v>375</v>
      </c>
      <c r="B33" s="176"/>
      <c r="C33" s="163"/>
      <c r="D33" s="163">
        <f>SUM(B32:D32)</f>
        <v>700.06700000000001</v>
      </c>
      <c r="E33" s="163"/>
      <c r="F33" s="163"/>
      <c r="G33" s="163"/>
      <c r="H33" s="163"/>
      <c r="I33"/>
      <c r="J33"/>
    </row>
    <row r="34" spans="1:10" ht="12.75" customHeight="1">
      <c r="A34" s="177" t="s">
        <v>376</v>
      </c>
      <c r="B34" s="176"/>
      <c r="C34" s="163"/>
      <c r="D34" s="163"/>
      <c r="E34" s="163"/>
      <c r="F34" s="163">
        <f>((B16*E16)+(B17*E17)+(B18*E18)+(B19*E19)+(B20*E20)+(B21*E21)+(B22*E22)+(B23*E23)+(B24*E24)+(B25*E25)+(B26*E26)+(B27*E27)+(B28*E28)+(B29*E29)+(B30*E30)+(B31*E31))</f>
        <v>89.763300000000001</v>
      </c>
      <c r="G34" s="163">
        <f>((C16*E16)+(C17*E17)+(C18*E18)+(C19*E19)+(C20*E20)+(C21*E21)+(C22*E22)+(C23*E23)+(C24*E24)+(C25*E25)+(C26*E26)+(C27*E27)+(C28*E28)+(C29*E29)+(C30*E30)+(C31*E31))</f>
        <v>0</v>
      </c>
      <c r="H34" s="163">
        <f>((D16*E16)+(D17*E17)+(D18*E18)+(D19*E19)+(D20*E20)+(D21*E21)+(D22*E22)+(D23*E23)+(D24*E24)+(D25*E25)+(D26*E26)+(D27*E27)+(D28*E28)+(D29*E29)+(D30*E30)+(D31*E31))</f>
        <v>0</v>
      </c>
      <c r="I34" s="123"/>
      <c r="J34" s="123"/>
    </row>
    <row r="35" spans="1:10" s="123" customFormat="1" ht="13">
      <c r="A35" s="177" t="s">
        <v>377</v>
      </c>
      <c r="B35" s="176"/>
      <c r="C35" s="178"/>
      <c r="D35" s="178"/>
      <c r="E35" s="178"/>
      <c r="F35" s="178"/>
      <c r="G35" s="178"/>
      <c r="H35" s="178">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89.763300000000001</v>
      </c>
      <c r="I35" s="179"/>
    </row>
    <row r="36" spans="1:10" ht="13">
      <c r="A36" s="465" t="str">
        <f>A3</f>
        <v>Tucson International Academy</v>
      </c>
      <c r="B36" s="465"/>
      <c r="C36" s="465"/>
      <c r="D36" s="465"/>
      <c r="E36" s="465"/>
      <c r="F36" s="465"/>
      <c r="G36" s="465"/>
      <c r="H36" s="465"/>
      <c r="I36" s="465"/>
      <c r="J36" s="465"/>
    </row>
    <row r="37" spans="1:10" ht="13">
      <c r="A37" s="465" t="s">
        <v>343</v>
      </c>
      <c r="B37" s="465"/>
      <c r="C37" s="465"/>
      <c r="D37" s="465"/>
      <c r="E37" s="465"/>
      <c r="F37" s="465"/>
      <c r="G37" s="465"/>
      <c r="H37" s="465"/>
      <c r="I37" s="465"/>
      <c r="J37" s="465"/>
    </row>
    <row r="38" spans="1:10" ht="13">
      <c r="A38" s="465" t="s">
        <v>476</v>
      </c>
      <c r="B38" s="465"/>
      <c r="C38" s="465"/>
      <c r="D38" s="465"/>
      <c r="E38" s="465"/>
      <c r="F38" s="465"/>
      <c r="G38" s="465"/>
      <c r="H38" s="465"/>
      <c r="I38" s="465"/>
      <c r="J38" s="465"/>
    </row>
    <row r="39" spans="1:10" s="123" customFormat="1" ht="13.5" thickBot="1">
      <c r="A39" s="157"/>
      <c r="B39" s="157"/>
      <c r="C39" s="157"/>
      <c r="D39" s="157"/>
      <c r="E39" s="157"/>
      <c r="F39" s="157"/>
      <c r="G39" s="157"/>
      <c r="H39" s="157"/>
      <c r="I39" s="157"/>
      <c r="J39" s="158" t="s">
        <v>378</v>
      </c>
    </row>
    <row r="40" spans="1:10">
      <c r="A40"/>
      <c r="B40"/>
      <c r="C40"/>
      <c r="D40"/>
      <c r="E40"/>
      <c r="F40"/>
      <c r="G40"/>
      <c r="H40"/>
      <c r="I40"/>
      <c r="J40"/>
    </row>
    <row r="41" spans="1:10" ht="13">
      <c r="A41" s="177" t="s">
        <v>379</v>
      </c>
      <c r="B41"/>
      <c r="C41"/>
      <c r="D41"/>
      <c r="E41"/>
      <c r="F41"/>
      <c r="G41"/>
      <c r="H41"/>
      <c r="I41"/>
      <c r="J41"/>
    </row>
    <row r="42" spans="1:10" ht="26">
      <c r="A42" s="180"/>
      <c r="B42"/>
      <c r="C42" s="159" t="s">
        <v>380</v>
      </c>
      <c r="D42"/>
      <c r="E42" s="159" t="s">
        <v>381</v>
      </c>
      <c r="F42"/>
      <c r="G42" s="159" t="s">
        <v>382</v>
      </c>
      <c r="H42"/>
      <c r="I42"/>
      <c r="J42"/>
    </row>
    <row r="43" spans="1:10" ht="13.5" customHeight="1">
      <c r="A43" s="113" t="s">
        <v>356</v>
      </c>
      <c r="B43"/>
      <c r="C43" s="181">
        <f>((B8*E8)+(B9*E9)+(B10*E10))</f>
        <v>550.27560000000005</v>
      </c>
      <c r="D43"/>
      <c r="E43" s="181">
        <f>((C8*E8)+(C9*E9)+(C10*E10))</f>
        <v>0</v>
      </c>
      <c r="F43" s="164"/>
      <c r="G43" s="181">
        <f>((D8*E8)+(D9*E9)+(D10*E10))</f>
        <v>0</v>
      </c>
      <c r="H43" s="164"/>
      <c r="I43"/>
      <c r="J43"/>
    </row>
    <row r="44" spans="1:10">
      <c r="A44" s="113" t="s">
        <v>376</v>
      </c>
      <c r="B44" s="409" t="s">
        <v>273</v>
      </c>
      <c r="C44" s="181">
        <f>((B16*E16)+(B17*E17)+(B18*E18)+(B19*E19)+(B20*E20)+(B21*E21)+(B22*E22)+(B23*E23)+(B24*E24)+(B25*E25)+(B26*E26)+(B27*E27)+(B28*E28)+(B29*E29)+(B30*E30)+(B31*E31))</f>
        <v>89.763300000000001</v>
      </c>
      <c r="D44" s="409" t="s">
        <v>273</v>
      </c>
      <c r="E44" s="181">
        <f>((C16*E16)+(C17*E17)+(C18*E18)+(C19*E19)+(C20*E20)+(C21*E21)+(C22*E22)+(C23*E23)+(C24*E24)+(C25*E25)+(C26*E26)+(C27*E27)+(C28*E28)+(C29*E29)+(C30*E30)+(C31*E31))</f>
        <v>0</v>
      </c>
      <c r="F44" s="182" t="s">
        <v>273</v>
      </c>
      <c r="G44" s="181">
        <f>((D16*E16)+(D17*E17)+(D18*E18)+(D19*E19)+(D20*E20)+(D21*E21)+(D22*E22)+(D23*E23)+(D24*E24)+(D25*E25)+(D26*E26)+(D27*E27)+(D28*E28)+(D29*E29)+(D30*E30)+(D31*E31))</f>
        <v>0</v>
      </c>
      <c r="H44" s="164"/>
      <c r="I44"/>
      <c r="J44"/>
    </row>
    <row r="45" spans="1:10">
      <c r="A45" s="113" t="s">
        <v>383</v>
      </c>
      <c r="B45" s="409" t="s">
        <v>276</v>
      </c>
      <c r="C45" s="181">
        <f>((B8*E8)+(B9*E9)+(B10*E10))+((B16*E16)+(B17*E17)+(B18*E18)+(B19*E19)+(B20*E20)+(B21*E21)+(B22*E22)+(B23*E23)+(B24*E24)+(B25*E25)+(B26*E26)+(B27*E27)+(B28*E28)+(B29*E29)+(B30*E30)+(B31*E31))</f>
        <v>640.03890000000001</v>
      </c>
      <c r="D45" s="409" t="s">
        <v>276</v>
      </c>
      <c r="E45" s="181">
        <f>((C8*E8)+(C9*E9)+(C10*E10))+((C16*E16)+(C17*E17)+(C18*E18)+(C19*E19)+(C20*E20)+(C21*E21)+(C22*E22)+(C23*E23)+(C24*E24)+(C25*E25)+(C26*E26)+(C27*E27)+(C28*E28)+(C29*E29)+(C30*E30)+(C31*E31))</f>
        <v>0</v>
      </c>
      <c r="F45" s="182" t="s">
        <v>276</v>
      </c>
      <c r="G45" s="181">
        <f>((D8*E8)+(D9*E9)+(D10*E10))+((D16*E16)+(D17*E17)+(D18*E18)+(D19*E19)+(D20*E20)+(D21*E21)+(D22*E22)+(D23*E23)+(D24*E24)+(D25*E25)+(D26*E26)+(D27*E27)+(D28*E28)+(D29*E29)+(D30*E30)+(D31*E31))</f>
        <v>0</v>
      </c>
      <c r="H45" s="164"/>
      <c r="I45"/>
      <c r="J45"/>
    </row>
    <row r="46" spans="1:10">
      <c r="A46" s="113" t="s">
        <v>384</v>
      </c>
      <c r="B46" s="409" t="s">
        <v>254</v>
      </c>
      <c r="C46" s="181">
        <v>1</v>
      </c>
      <c r="D46" s="409" t="s">
        <v>254</v>
      </c>
      <c r="E46" s="181">
        <v>0.95</v>
      </c>
      <c r="F46" s="182" t="s">
        <v>254</v>
      </c>
      <c r="G46" s="181">
        <v>0.85</v>
      </c>
      <c r="H46" s="164"/>
      <c r="I46"/>
      <c r="J46"/>
    </row>
    <row r="47" spans="1:10">
      <c r="A47" s="113" t="s">
        <v>385</v>
      </c>
      <c r="B47" s="409" t="s">
        <v>276</v>
      </c>
      <c r="C47" s="181">
        <f>(((B8*E8)+(B9*E9)+(B10*E10))+((B16*E16)+(B17*E17)+(B18*E18)+(B19*E19)+(B20*E20)+(B21*E21)+(B22*E22)+(B23*E23)+(B24*E24)+(B25*E25)+(B26*E26)+(B27*E27)+(B28*E28)+(B29*E29)+(B30*E30)+(B31*E31))*C46)</f>
        <v>640.03890000000001</v>
      </c>
      <c r="D47" s="409" t="s">
        <v>276</v>
      </c>
      <c r="E47" s="181">
        <f>(((C8*E8)+(C9*E9)+(C10*E10))+((C16*E16)+(C17*E17)+(C18*E18)+(C19*E19)+(C20*E20)+(C21*E21)+(C22*E22)+(C23*E23)+(C24*E24)+(C25*E25)+(C26*E26)+(C27*E27)+(C28*E28)+(C29*E29)+(C30*E30)+(C31*E31)))*E46</f>
        <v>0</v>
      </c>
      <c r="F47" s="182" t="s">
        <v>276</v>
      </c>
      <c r="G47" s="181">
        <f>((((D8*E8)+(D9*E9)+(D10*E10))+((D16*E16)+(D17*E17)+(D18*E18)+(D19*E19)+(D20*E20)+(D21*E21)+(D22*E22)+(D23*E23)+(D24*E24)+(D25*E25)+(D26*E26)+(D27*E27)+(D28*E28)+(D29*E29)+(D30*E30)+(D31*E31)))*G46)</f>
        <v>0</v>
      </c>
      <c r="H47" s="164"/>
      <c r="I47"/>
      <c r="J47"/>
    </row>
    <row r="48" spans="1:10">
      <c r="A48"/>
      <c r="B48"/>
      <c r="C48" s="164"/>
      <c r="D48"/>
      <c r="E48" s="164"/>
      <c r="F48" s="164"/>
      <c r="G48" s="164"/>
      <c r="H48" s="164"/>
      <c r="I48"/>
      <c r="J48"/>
    </row>
    <row r="49" spans="1:10" ht="13">
      <c r="A49" s="183" t="s">
        <v>386</v>
      </c>
      <c r="B49"/>
      <c r="C49" s="164"/>
      <c r="D49" s="184"/>
      <c r="E49" s="164"/>
      <c r="F49" s="164"/>
      <c r="G49" s="164"/>
      <c r="H49" s="185">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640.03890000000001</v>
      </c>
      <c r="I49"/>
      <c r="J49"/>
    </row>
    <row r="50" spans="1:10" ht="13">
      <c r="A50" s="113" t="s">
        <v>387</v>
      </c>
      <c r="B50"/>
      <c r="C50" s="164"/>
      <c r="D50"/>
      <c r="E50"/>
      <c r="F50"/>
      <c r="G50"/>
      <c r="H50" s="187">
        <f>IF('Data Entry'!C85="X",(5013*0.05)+5013,5013)</f>
        <v>5013</v>
      </c>
      <c r="I50"/>
      <c r="J50"/>
    </row>
    <row r="51" spans="1:10" ht="13">
      <c r="A51" s="177" t="s">
        <v>388</v>
      </c>
      <c r="B51"/>
      <c r="C51" s="181">
        <f>H49</f>
        <v>640.03890000000001</v>
      </c>
      <c r="D51" s="409" t="s">
        <v>254</v>
      </c>
      <c r="E51" s="186">
        <f>H50</f>
        <v>5013</v>
      </c>
      <c r="F51"/>
      <c r="G51"/>
      <c r="H51" s="187">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3208515.02</v>
      </c>
      <c r="I51"/>
      <c r="J51"/>
    </row>
    <row r="52" spans="1:10" ht="13">
      <c r="A52" s="177"/>
      <c r="B52"/>
      <c r="C52" s="80"/>
      <c r="D52" s="409"/>
      <c r="E52" s="104"/>
      <c r="F52"/>
      <c r="G52"/>
      <c r="H52" s="188"/>
      <c r="I52"/>
      <c r="J52"/>
    </row>
    <row r="53" spans="1:10" ht="13">
      <c r="A53" s="146" t="s">
        <v>389</v>
      </c>
      <c r="B53"/>
      <c r="C53"/>
      <c r="D53"/>
      <c r="E53"/>
      <c r="F53"/>
      <c r="G53"/>
      <c r="H53" s="94"/>
      <c r="I53"/>
      <c r="J53"/>
    </row>
    <row r="54" spans="1:10" ht="13">
      <c r="A54" s="146" t="s">
        <v>390</v>
      </c>
      <c r="B54"/>
      <c r="C54"/>
      <c r="D54"/>
      <c r="E54"/>
      <c r="F54"/>
      <c r="G54"/>
      <c r="H54" s="187">
        <f>ROUND(NonFedAuditExp,0)</f>
        <v>23500</v>
      </c>
      <c r="I54"/>
      <c r="J54"/>
    </row>
    <row r="55" spans="1:10" ht="13">
      <c r="A55" s="146" t="s">
        <v>391</v>
      </c>
      <c r="B55"/>
      <c r="C55"/>
      <c r="D55"/>
      <c r="E55"/>
      <c r="F55"/>
      <c r="G55"/>
      <c r="H55" s="187">
        <f>ROUND(RemoteTimeAdjustment,0)</f>
        <v>0</v>
      </c>
      <c r="I55"/>
      <c r="J55"/>
    </row>
    <row r="56" spans="1:10" ht="13">
      <c r="A56" s="146"/>
      <c r="B56"/>
      <c r="C56"/>
      <c r="D56"/>
      <c r="E56"/>
      <c r="F56"/>
      <c r="G56"/>
      <c r="H56" s="187"/>
      <c r="I56"/>
      <c r="J56"/>
    </row>
    <row r="57" spans="1:10" ht="13">
      <c r="A57"/>
      <c r="B57"/>
      <c r="C57"/>
      <c r="D57"/>
      <c r="E57"/>
      <c r="F57"/>
      <c r="G57"/>
      <c r="H57" s="1"/>
      <c r="I57"/>
      <c r="J57"/>
    </row>
    <row r="58" spans="1:10" ht="13">
      <c r="A58" s="147" t="s">
        <v>392</v>
      </c>
      <c r="B58"/>
      <c r="C58" s="186">
        <f>H51</f>
        <v>3208515.02</v>
      </c>
      <c r="D58" s="409" t="s">
        <v>273</v>
      </c>
      <c r="E58" s="186">
        <f>H54+H55+H56+H57</f>
        <v>23500</v>
      </c>
      <c r="F58"/>
      <c r="G58"/>
      <c r="H58" s="187">
        <f>C58+E58</f>
        <v>3232015.02</v>
      </c>
      <c r="I58"/>
      <c r="J58"/>
    </row>
    <row r="59" spans="1:10">
      <c r="A59"/>
      <c r="B59"/>
      <c r="C59"/>
      <c r="D59"/>
      <c r="E59"/>
      <c r="F59"/>
      <c r="G59"/>
      <c r="H59"/>
      <c r="I59"/>
      <c r="J59"/>
    </row>
    <row r="60" spans="1:10" ht="11.25" customHeight="1">
      <c r="A60" s="465" t="str">
        <f>A3</f>
        <v>Tucson International Academy</v>
      </c>
      <c r="B60" s="465"/>
      <c r="C60" s="465"/>
      <c r="D60" s="465"/>
      <c r="E60" s="465"/>
      <c r="F60" s="465"/>
      <c r="G60" s="465"/>
      <c r="H60" s="465"/>
      <c r="I60" s="465"/>
      <c r="J60" s="465"/>
    </row>
    <row r="61" spans="1:10" ht="12" customHeight="1">
      <c r="A61" s="465" t="s">
        <v>343</v>
      </c>
      <c r="B61" s="465"/>
      <c r="C61" s="465"/>
      <c r="D61" s="465"/>
      <c r="E61" s="465"/>
      <c r="F61" s="465"/>
      <c r="G61" s="465"/>
      <c r="H61" s="465"/>
      <c r="I61" s="465"/>
      <c r="J61" s="465"/>
    </row>
    <row r="62" spans="1:10" ht="13">
      <c r="A62" s="465" t="s">
        <v>476</v>
      </c>
      <c r="B62" s="465"/>
      <c r="C62" s="465"/>
      <c r="D62" s="465"/>
      <c r="E62" s="465"/>
      <c r="F62" s="465"/>
      <c r="G62" s="465"/>
      <c r="H62" s="465"/>
      <c r="I62" s="465"/>
      <c r="J62" s="465"/>
    </row>
    <row r="63" spans="1:10" s="123" customFormat="1" ht="13.5" thickBot="1">
      <c r="A63" s="157"/>
      <c r="B63" s="157"/>
      <c r="C63" s="157"/>
      <c r="D63" s="157"/>
      <c r="E63" s="157"/>
      <c r="F63" s="157"/>
      <c r="G63" s="157"/>
      <c r="H63" s="157"/>
      <c r="I63" s="157"/>
      <c r="J63" s="158" t="s">
        <v>393</v>
      </c>
    </row>
    <row r="64" spans="1:10">
      <c r="A64"/>
      <c r="B64"/>
      <c r="C64"/>
      <c r="D64"/>
      <c r="E64"/>
      <c r="F64"/>
      <c r="G64"/>
      <c r="H64"/>
      <c r="I64"/>
      <c r="J64"/>
    </row>
    <row r="65" spans="1:10" ht="13.5" thickBot="1">
      <c r="A65" s="158" t="s">
        <v>394</v>
      </c>
      <c r="B65"/>
      <c r="C65" s="189" t="s">
        <v>268</v>
      </c>
      <c r="D65" s="157"/>
      <c r="E65" s="189" t="s">
        <v>269</v>
      </c>
      <c r="F65" s="157"/>
      <c r="G65" s="189" t="s">
        <v>270</v>
      </c>
      <c r="H65"/>
      <c r="I65"/>
      <c r="J65"/>
    </row>
    <row r="66" spans="1:10">
      <c r="A66" s="139" t="s">
        <v>395</v>
      </c>
      <c r="B66"/>
      <c r="C66" s="190">
        <f>SUM(B8:D8)</f>
        <v>0</v>
      </c>
      <c r="D66" s="164"/>
      <c r="E66" s="190">
        <f>SUM(B9:D9)</f>
        <v>286</v>
      </c>
      <c r="F66" s="164"/>
      <c r="G66" s="190">
        <f>SUM(B10:D10)</f>
        <v>107</v>
      </c>
      <c r="H66"/>
      <c r="I66"/>
      <c r="J66"/>
    </row>
    <row r="67" spans="1:10" ht="13" thickBot="1">
      <c r="A67" s="113" t="s">
        <v>396</v>
      </c>
      <c r="B67" s="409" t="s">
        <v>254</v>
      </c>
      <c r="C67" s="389">
        <v>2090.1</v>
      </c>
      <c r="D67" s="390" t="s">
        <v>254</v>
      </c>
      <c r="E67" s="389">
        <v>2090.1</v>
      </c>
      <c r="F67" s="390" t="s">
        <v>254</v>
      </c>
      <c r="G67" s="389">
        <v>2435.9699999999998</v>
      </c>
      <c r="H67"/>
      <c r="I67"/>
      <c r="J67"/>
    </row>
    <row r="68" spans="1:10" ht="12" customHeight="1">
      <c r="A68" s="113" t="s">
        <v>397</v>
      </c>
      <c r="B68" s="409" t="s">
        <v>276</v>
      </c>
      <c r="C68" s="186">
        <f>C66*C67</f>
        <v>0</v>
      </c>
      <c r="D68" s="409" t="s">
        <v>276</v>
      </c>
      <c r="E68" s="186">
        <f>E66*E67</f>
        <v>597768.6</v>
      </c>
      <c r="F68" s="409" t="s">
        <v>276</v>
      </c>
      <c r="G68" s="186">
        <f>G66*G67</f>
        <v>260648.79</v>
      </c>
      <c r="H68"/>
      <c r="I68"/>
      <c r="J68"/>
    </row>
    <row r="69" spans="1:10" ht="13">
      <c r="A69" s="113" t="s">
        <v>398</v>
      </c>
      <c r="B69"/>
      <c r="C69"/>
      <c r="D69"/>
      <c r="E69"/>
      <c r="F69"/>
      <c r="G69"/>
      <c r="H69" s="187">
        <f>(C66*C67)+(E66*E67)+(G66*G67)</f>
        <v>858417.39</v>
      </c>
      <c r="I69"/>
      <c r="J69"/>
    </row>
    <row r="70" spans="1:10">
      <c r="A70"/>
      <c r="B70"/>
      <c r="C70"/>
      <c r="D70"/>
      <c r="E70"/>
      <c r="F70"/>
      <c r="G70"/>
      <c r="H70" s="184"/>
      <c r="I70"/>
      <c r="J70"/>
    </row>
    <row r="71" spans="1:10" ht="13">
      <c r="A71" s="177" t="s">
        <v>399</v>
      </c>
      <c r="B71"/>
      <c r="C71"/>
      <c r="D71"/>
      <c r="E71"/>
      <c r="F71"/>
      <c r="G71"/>
      <c r="H71" s="184"/>
      <c r="I71"/>
      <c r="J71"/>
    </row>
    <row r="72" spans="1:10">
      <c r="A72"/>
      <c r="B72"/>
      <c r="C72"/>
      <c r="D72"/>
      <c r="E72"/>
      <c r="F72"/>
      <c r="G72"/>
      <c r="H72" s="184"/>
      <c r="I72"/>
      <c r="J72"/>
    </row>
    <row r="73" spans="1:10" ht="13">
      <c r="A73" s="94" t="s">
        <v>400</v>
      </c>
      <c r="B73"/>
      <c r="C73"/>
      <c r="D73"/>
      <c r="E73"/>
      <c r="F73"/>
      <c r="G73"/>
      <c r="H73" s="187">
        <f>C68+E68+G68</f>
        <v>858417.39</v>
      </c>
      <c r="I73"/>
      <c r="J73"/>
    </row>
    <row r="74" spans="1:10">
      <c r="A74"/>
      <c r="B74"/>
      <c r="C74"/>
      <c r="D74"/>
      <c r="E74"/>
      <c r="F74"/>
      <c r="G74"/>
      <c r="H74" s="184"/>
      <c r="I74"/>
      <c r="J74"/>
    </row>
    <row r="75" spans="1:10" ht="13">
      <c r="A75" s="94" t="s">
        <v>401</v>
      </c>
      <c r="B75"/>
      <c r="C75"/>
      <c r="D75"/>
      <c r="E75"/>
      <c r="F75"/>
      <c r="G75"/>
      <c r="H75" s="184"/>
      <c r="I75"/>
      <c r="J75"/>
    </row>
    <row r="76" spans="1:10">
      <c r="A76" t="s">
        <v>402</v>
      </c>
      <c r="B76"/>
      <c r="C76" s="186">
        <f>H58</f>
        <v>3232015.02</v>
      </c>
      <c r="D76"/>
      <c r="E76"/>
      <c r="F76"/>
      <c r="G76"/>
      <c r="H76" s="184"/>
      <c r="I76"/>
      <c r="J76"/>
    </row>
    <row r="77" spans="1:10">
      <c r="A77" t="s">
        <v>403</v>
      </c>
      <c r="B77" s="409" t="s">
        <v>273</v>
      </c>
      <c r="C77" s="186">
        <f>H73</f>
        <v>858417.39</v>
      </c>
      <c r="D77"/>
      <c r="E77"/>
      <c r="F77"/>
      <c r="G77"/>
      <c r="H77" s="184"/>
      <c r="I77"/>
      <c r="J77"/>
    </row>
    <row r="78" spans="1:10">
      <c r="A78"/>
      <c r="B78" s="409" t="s">
        <v>276</v>
      </c>
      <c r="C78" s="186">
        <f>C76+C77</f>
        <v>4090432.41</v>
      </c>
      <c r="D78"/>
      <c r="E78"/>
      <c r="F78"/>
      <c r="G78"/>
      <c r="H78" s="184"/>
      <c r="I78"/>
      <c r="J78"/>
    </row>
    <row r="79" spans="1:10" ht="13">
      <c r="A79" s="94" t="s">
        <v>404</v>
      </c>
      <c r="B79"/>
      <c r="C79"/>
      <c r="D79"/>
      <c r="E79"/>
      <c r="F79"/>
      <c r="G79"/>
      <c r="H79" s="187">
        <f>C78</f>
        <v>4090432.41</v>
      </c>
      <c r="I79"/>
      <c r="J79"/>
    </row>
    <row r="80" spans="1:10">
      <c r="A80"/>
      <c r="B80"/>
      <c r="C80"/>
      <c r="D80"/>
      <c r="E80"/>
      <c r="F80"/>
      <c r="G80"/>
      <c r="H80" s="184"/>
      <c r="I80"/>
      <c r="J80"/>
    </row>
    <row r="81" spans="1:10">
      <c r="A81"/>
      <c r="B81"/>
      <c r="C81"/>
      <c r="D81"/>
      <c r="E81"/>
      <c r="F81"/>
      <c r="G81"/>
      <c r="H81" s="184"/>
      <c r="I81"/>
      <c r="J81"/>
    </row>
    <row r="82" spans="1:10" ht="13">
      <c r="A82"/>
      <c r="B82"/>
      <c r="C82"/>
      <c r="D82"/>
      <c r="E82"/>
      <c r="F82"/>
      <c r="G82"/>
      <c r="H82" s="187">
        <f>H79</f>
        <v>4090432.41</v>
      </c>
      <c r="I82"/>
      <c r="J82"/>
    </row>
    <row r="83" spans="1:10">
      <c r="A83"/>
      <c r="B83"/>
      <c r="C83"/>
      <c r="D83"/>
      <c r="E83"/>
      <c r="F83"/>
      <c r="G83"/>
      <c r="H83" s="6"/>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5/25 Arizona Department of Education and Auditor General&amp;R&amp;"Arial,Bold"BSA55</oddFooter>
  </headerFooter>
  <rowBreaks count="2" manualBreakCount="2">
    <brk id="35" max="16383" man="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topLeftCell="A25" workbookViewId="0">
      <selection activeCell="C35" sqref="C35"/>
    </sheetView>
  </sheetViews>
  <sheetFormatPr defaultColWidth="9.453125" defaultRowHeight="12.5"/>
  <cols>
    <col min="1" max="1" width="13.453125" style="124" customWidth="1"/>
    <col min="2" max="2" width="23.453125" style="125" customWidth="1"/>
    <col min="3" max="3" width="88.54296875" style="146" customWidth="1"/>
    <col min="4" max="4" width="34.81640625" style="139" customWidth="1"/>
  </cols>
  <sheetData>
    <row r="1" spans="1:6" ht="51.75" customHeight="1">
      <c r="A1" s="151" t="s">
        <v>405</v>
      </c>
      <c r="B1" s="151" t="s">
        <v>406</v>
      </c>
      <c r="C1" s="152" t="s">
        <v>407</v>
      </c>
      <c r="D1" s="151" t="s">
        <v>408</v>
      </c>
    </row>
    <row r="2" spans="1:6" ht="234.75" customHeight="1">
      <c r="A2" s="153" t="s">
        <v>409</v>
      </c>
      <c r="B2" s="125" t="s">
        <v>410</v>
      </c>
      <c r="C2" s="113" t="s">
        <v>528</v>
      </c>
      <c r="D2" s="113"/>
      <c r="F2" s="146"/>
    </row>
    <row r="3" spans="1:6" ht="44.25" customHeight="1">
      <c r="A3" s="153" t="s">
        <v>409</v>
      </c>
      <c r="B3" s="125" t="s">
        <v>2</v>
      </c>
      <c r="C3" s="113" t="s">
        <v>411</v>
      </c>
    </row>
    <row r="4" spans="1:6" ht="76.5" customHeight="1">
      <c r="A4" s="153" t="s">
        <v>409</v>
      </c>
      <c r="B4" s="125" t="s">
        <v>18</v>
      </c>
      <c r="C4" s="113" t="s">
        <v>412</v>
      </c>
    </row>
    <row r="5" spans="1:6" ht="102" customHeight="1">
      <c r="A5" s="391" t="s">
        <v>409</v>
      </c>
      <c r="B5" s="442" t="s">
        <v>458</v>
      </c>
      <c r="C5" s="450" t="s">
        <v>529</v>
      </c>
      <c r="D5" s="437" t="s">
        <v>530</v>
      </c>
    </row>
    <row r="6" spans="1:6" ht="37.5" customHeight="1">
      <c r="A6" s="153" t="s">
        <v>409</v>
      </c>
      <c r="B6" s="125" t="s">
        <v>413</v>
      </c>
      <c r="C6" s="113" t="s">
        <v>527</v>
      </c>
    </row>
    <row r="7" spans="1:6" ht="112.5" customHeight="1">
      <c r="A7" s="153" t="s">
        <v>409</v>
      </c>
      <c r="B7" s="125" t="s">
        <v>249</v>
      </c>
      <c r="C7" s="113" t="s">
        <v>414</v>
      </c>
    </row>
    <row r="8" spans="1:6" ht="177" customHeight="1">
      <c r="A8" s="412">
        <v>1</v>
      </c>
      <c r="B8" s="125" t="s">
        <v>410</v>
      </c>
      <c r="C8" s="139" t="s">
        <v>472</v>
      </c>
      <c r="D8" s="441"/>
    </row>
    <row r="9" spans="1:6" ht="87.75" customHeight="1">
      <c r="A9" s="153">
        <v>1</v>
      </c>
      <c r="B9" s="125" t="s">
        <v>415</v>
      </c>
      <c r="C9" s="113" t="s">
        <v>416</v>
      </c>
    </row>
    <row r="10" spans="1:6" ht="17.25" customHeight="1">
      <c r="A10" s="153"/>
      <c r="C10" s="154" t="s">
        <v>417</v>
      </c>
    </row>
    <row r="11" spans="1:6" ht="49.5" customHeight="1">
      <c r="A11" s="412">
        <v>1</v>
      </c>
      <c r="B11" s="125" t="s">
        <v>418</v>
      </c>
      <c r="C11" s="413" t="s">
        <v>419</v>
      </c>
    </row>
    <row r="12" spans="1:6" ht="47.25" customHeight="1">
      <c r="A12" s="391">
        <v>1</v>
      </c>
      <c r="B12" s="442" t="s">
        <v>420</v>
      </c>
      <c r="C12" s="437" t="s">
        <v>514</v>
      </c>
      <c r="D12" s="437" t="s">
        <v>421</v>
      </c>
    </row>
    <row r="13" spans="1:6" ht="81.75" customHeight="1">
      <c r="A13" s="153">
        <v>2</v>
      </c>
      <c r="B13" s="125" t="s">
        <v>114</v>
      </c>
      <c r="C13" s="139" t="s">
        <v>515</v>
      </c>
      <c r="D13" s="155"/>
    </row>
    <row r="14" spans="1:6" ht="133.5" customHeight="1">
      <c r="A14" s="153">
        <v>2</v>
      </c>
      <c r="B14" s="125" t="s">
        <v>422</v>
      </c>
      <c r="C14" s="113" t="s">
        <v>423</v>
      </c>
    </row>
    <row r="15" spans="1:6" ht="127.5" customHeight="1">
      <c r="A15" s="153">
        <v>2</v>
      </c>
      <c r="B15" s="125" t="s">
        <v>424</v>
      </c>
      <c r="C15" s="139" t="s">
        <v>425</v>
      </c>
    </row>
    <row r="16" spans="1:6" ht="52.5" customHeight="1">
      <c r="A16" s="386">
        <v>2</v>
      </c>
      <c r="B16" s="387" t="s">
        <v>178</v>
      </c>
      <c r="C16" s="385" t="s">
        <v>426</v>
      </c>
      <c r="D16" s="392"/>
    </row>
    <row r="17" spans="1:4" ht="96.75" customHeight="1">
      <c r="A17" s="412">
        <v>2</v>
      </c>
      <c r="B17" s="125" t="s">
        <v>184</v>
      </c>
      <c r="C17" s="139" t="s">
        <v>473</v>
      </c>
      <c r="D17" s="441"/>
    </row>
    <row r="18" spans="1:4" ht="45.75" customHeight="1">
      <c r="A18" s="153">
        <v>2</v>
      </c>
      <c r="B18" s="125" t="s">
        <v>115</v>
      </c>
      <c r="C18" s="113" t="s">
        <v>427</v>
      </c>
    </row>
    <row r="19" spans="1:4" ht="32.25" customHeight="1">
      <c r="A19" s="153">
        <v>2</v>
      </c>
      <c r="B19" s="125" t="s">
        <v>428</v>
      </c>
      <c r="C19" s="113" t="s">
        <v>429</v>
      </c>
    </row>
    <row r="20" spans="1:4" ht="54" customHeight="1">
      <c r="A20" s="153">
        <v>2</v>
      </c>
      <c r="B20" s="125" t="s">
        <v>430</v>
      </c>
      <c r="C20" s="139" t="s">
        <v>431</v>
      </c>
      <c r="D20" s="155"/>
    </row>
    <row r="21" spans="1:4" ht="63.75" customHeight="1">
      <c r="A21" s="153">
        <v>2</v>
      </c>
      <c r="B21" s="125" t="s">
        <v>160</v>
      </c>
      <c r="C21" s="113" t="s">
        <v>432</v>
      </c>
    </row>
    <row r="22" spans="1:4" ht="116.25" customHeight="1">
      <c r="A22" s="153">
        <v>2</v>
      </c>
      <c r="B22" s="125" t="s">
        <v>433</v>
      </c>
      <c r="C22" s="113" t="s">
        <v>516</v>
      </c>
    </row>
    <row r="23" spans="1:4" ht="35.25" customHeight="1">
      <c r="A23" s="153">
        <v>2</v>
      </c>
      <c r="B23" s="125" t="s">
        <v>434</v>
      </c>
      <c r="C23" s="113" t="s">
        <v>435</v>
      </c>
    </row>
    <row r="24" spans="1:4" ht="39" customHeight="1">
      <c r="A24" s="153">
        <v>2</v>
      </c>
      <c r="B24" s="125" t="s">
        <v>436</v>
      </c>
      <c r="C24" s="113" t="s">
        <v>437</v>
      </c>
    </row>
    <row r="25" spans="1:4" ht="72.75" customHeight="1">
      <c r="A25" s="412">
        <v>2</v>
      </c>
      <c r="B25" s="125" t="s">
        <v>182</v>
      </c>
      <c r="C25" s="139" t="s">
        <v>474</v>
      </c>
      <c r="D25" s="441"/>
    </row>
    <row r="26" spans="1:4" ht="100">
      <c r="A26" s="391">
        <v>3</v>
      </c>
      <c r="B26" s="442" t="s">
        <v>241</v>
      </c>
      <c r="C26" s="437" t="s">
        <v>517</v>
      </c>
      <c r="D26" s="451" t="s">
        <v>531</v>
      </c>
    </row>
    <row r="27" spans="1:4" ht="102" customHeight="1">
      <c r="A27" s="153">
        <v>3</v>
      </c>
      <c r="B27" s="125" t="s">
        <v>241</v>
      </c>
      <c r="C27" s="139" t="s">
        <v>438</v>
      </c>
    </row>
    <row r="28" spans="1:4" ht="79.5" customHeight="1">
      <c r="A28" s="412">
        <v>3</v>
      </c>
      <c r="B28" s="125" t="s">
        <v>439</v>
      </c>
      <c r="C28" s="139" t="s">
        <v>475</v>
      </c>
      <c r="D28" s="441"/>
    </row>
    <row r="29" spans="1:4" ht="57.75" customHeight="1">
      <c r="A29" s="153">
        <v>4</v>
      </c>
      <c r="B29" s="125" t="s">
        <v>440</v>
      </c>
      <c r="C29" s="139" t="s">
        <v>441</v>
      </c>
    </row>
    <row r="30" spans="1:4" ht="56.25" customHeight="1">
      <c r="A30" s="153">
        <v>4</v>
      </c>
      <c r="B30" s="125" t="s">
        <v>442</v>
      </c>
      <c r="C30" s="139" t="s">
        <v>443</v>
      </c>
    </row>
    <row r="31" spans="1:4" ht="45" customHeight="1">
      <c r="A31" s="411" t="s">
        <v>444</v>
      </c>
      <c r="B31" s="125" t="s">
        <v>410</v>
      </c>
      <c r="C31" s="139" t="s">
        <v>445</v>
      </c>
    </row>
    <row r="32" spans="1:4" ht="45" customHeight="1">
      <c r="A32" s="411" t="s">
        <v>465</v>
      </c>
      <c r="B32" s="125" t="s">
        <v>446</v>
      </c>
      <c r="C32" s="139" t="s">
        <v>518</v>
      </c>
    </row>
    <row r="33" spans="1:3" ht="46.5" customHeight="1">
      <c r="A33" s="411" t="s">
        <v>465</v>
      </c>
      <c r="B33" s="125" t="s">
        <v>447</v>
      </c>
      <c r="C33" s="139" t="s">
        <v>519</v>
      </c>
    </row>
    <row r="34" spans="1:3" ht="47.25" customHeight="1">
      <c r="A34" s="411" t="s">
        <v>465</v>
      </c>
      <c r="B34" s="125" t="s">
        <v>448</v>
      </c>
      <c r="C34" s="139" t="s">
        <v>520</v>
      </c>
    </row>
    <row r="35" spans="1:3" ht="50.25" customHeight="1">
      <c r="A35" s="411" t="s">
        <v>465</v>
      </c>
      <c r="B35" s="125" t="s">
        <v>449</v>
      </c>
      <c r="C35" s="139" t="s">
        <v>521</v>
      </c>
    </row>
    <row r="36" spans="1:3" ht="56.25" customHeight="1">
      <c r="A36" s="411" t="s">
        <v>465</v>
      </c>
      <c r="B36" s="125" t="s">
        <v>450</v>
      </c>
      <c r="C36" s="139" t="s">
        <v>522</v>
      </c>
    </row>
    <row r="37" spans="1:3" ht="61.5" customHeight="1">
      <c r="A37" s="411" t="s">
        <v>465</v>
      </c>
      <c r="B37" s="125" t="s">
        <v>451</v>
      </c>
      <c r="C37" s="139" t="s">
        <v>523</v>
      </c>
    </row>
    <row r="38" spans="1:3" ht="72" customHeight="1">
      <c r="A38" s="411" t="s">
        <v>465</v>
      </c>
      <c r="B38" s="125" t="s">
        <v>452</v>
      </c>
      <c r="C38" s="139" t="s">
        <v>524</v>
      </c>
    </row>
    <row r="39" spans="1:3" ht="61.5" customHeight="1">
      <c r="A39" s="411" t="s">
        <v>465</v>
      </c>
      <c r="B39" s="125" t="s">
        <v>453</v>
      </c>
      <c r="C39" s="139" t="s">
        <v>525</v>
      </c>
    </row>
    <row r="40" spans="1:3" ht="48" customHeight="1">
      <c r="A40" s="411" t="s">
        <v>465</v>
      </c>
      <c r="B40" s="125" t="s">
        <v>454</v>
      </c>
      <c r="C40" s="139" t="s">
        <v>526</v>
      </c>
    </row>
    <row r="41" spans="1:3" ht="37.5">
      <c r="A41" s="411" t="s">
        <v>465</v>
      </c>
      <c r="B41" s="125" t="s">
        <v>455</v>
      </c>
      <c r="C41" s="139" t="s">
        <v>456</v>
      </c>
    </row>
    <row r="42" spans="1:3">
      <c r="A42" s="5"/>
    </row>
  </sheetData>
  <sheetProtection sheet="1" objects="1" scenarios="1"/>
  <hyperlinks>
    <hyperlink ref="A2" location="Cover!A1" display="Cover" xr:uid="{00000000-0004-0000-0A00-000000000000}"/>
    <hyperlink ref="A4" location="Cover!A1" display="Cover" xr:uid="{00000000-0004-0000-0A00-000001000000}"/>
    <hyperlink ref="A8" location="'Page 1'!A1" display="'Page 1'!A1" xr:uid="{00000000-0004-0000-0A00-000002000000}"/>
    <hyperlink ref="A11" location="'Page 1'!A1" display="'Page 1'!A1" xr:uid="{00000000-0004-0000-0A00-000003000000}"/>
    <hyperlink ref="A13" location="'Page 2'!A1" display="'Page 2'!A1" xr:uid="{00000000-0004-0000-0A00-000004000000}"/>
    <hyperlink ref="A17" location="'Page 2'!A1" display="'Page 2'!A1" xr:uid="{00000000-0004-0000-0A00-000005000000}"/>
    <hyperlink ref="A22" location="'Page 2'!A1" display="'Page 2'!A1" xr:uid="{00000000-0004-0000-0A00-000006000000}"/>
    <hyperlink ref="A26" location="'Page 3'!A1" display="'Page 3'!A1" xr:uid="{00000000-0004-0000-0A00-000007000000}"/>
    <hyperlink ref="A29" location="'Page 4'!A1" display="'Page 4'!A1" xr:uid="{00000000-0004-0000-0A00-000008000000}"/>
    <hyperlink ref="A30" location="'Page 4'!A1" display="'Page 4'!A1" xr:uid="{00000000-0004-0000-0A00-000009000000}"/>
    <hyperlink ref="A9" location="'Page 1'!A1" display="'Page 1'!A1" xr:uid="{00000000-0004-0000-0A00-00000A000000}"/>
    <hyperlink ref="A12" location="'Page 1'!A1" display="'Page 1'!A1" xr:uid="{00000000-0004-0000-0A00-00000B000000}"/>
    <hyperlink ref="A18" location="'Page 2'!A1" display="'Page 2'!A1" xr:uid="{00000000-0004-0000-0A00-00000C000000}"/>
    <hyperlink ref="A21" location="'Page 2'!A1" display="'Page 2'!A1" xr:uid="{00000000-0004-0000-0A00-00000D000000}"/>
    <hyperlink ref="A6" location="Cover!A1" display="Cover" xr:uid="{00000000-0004-0000-0A00-00000E000000}"/>
    <hyperlink ref="A3" location="Cover!A1" display="Cover" xr:uid="{00000000-0004-0000-0A00-00000F000000}"/>
    <hyperlink ref="A31" location="'Budget Summary'!A1" display="Budget Summary" xr:uid="{00000000-0004-0000-0A00-000010000000}"/>
    <hyperlink ref="A23" location="'Page 2'!A1" display="'Page 2'!A1" xr:uid="{00000000-0004-0000-0A00-000011000000}"/>
    <hyperlink ref="A24" location="'Page 2'!A1" display="'Page 2'!A1" xr:uid="{00000000-0004-0000-0A00-000012000000}"/>
    <hyperlink ref="A19" location="'Page 2'!A1" display="'Page 2'!A1" xr:uid="{00000000-0004-0000-0A00-000013000000}"/>
    <hyperlink ref="A14" location="'Page 2'!A1" display="'Page 2'!A1" xr:uid="{00000000-0004-0000-0A00-000014000000}"/>
    <hyperlink ref="C10" r:id="rId1" xr:uid="{00000000-0004-0000-0A00-000015000000}"/>
    <hyperlink ref="A7" location="Cover!A1" display="Cover" xr:uid="{00000000-0004-0000-0A00-000016000000}"/>
    <hyperlink ref="A15" location="'Page 2'!A1" display="'Page 2'!A1" xr:uid="{00000000-0004-0000-0A00-000017000000}"/>
    <hyperlink ref="A27" location="'Page 3'!A1" display="'Page 3'!A1" xr:uid="{00000000-0004-0000-0A00-000018000000}"/>
    <hyperlink ref="A25" location="'Page 2'!A1" display="'Page 2'!A1" xr:uid="{00000000-0004-0000-0A00-000019000000}"/>
    <hyperlink ref="A20" location="'Page 2'!A1" display="'Page 2'!A1" xr:uid="{00000000-0004-0000-0A00-00001A000000}"/>
    <hyperlink ref="A28" location="'Page 3'!A1" display="'Page 3'!A1" xr:uid="{00000000-0004-0000-0A00-00001B000000}"/>
    <hyperlink ref="A16" location="'Page 2'!A1" display="'Page 2'!A1" xr:uid="{00000000-0004-0000-0A00-00001C000000}"/>
    <hyperlink ref="A5" location="Cover!A1" display="Cover" xr:uid="{00000000-0004-0000-0A00-00001D000000}"/>
    <hyperlink ref="A32" location="'Project balances'!A1" display="Project balances" xr:uid="{00000000-0004-0000-0A00-00001E000000}"/>
    <hyperlink ref="A33:A41" location="'Project balances'!A1" display="Project balances" xr:uid="{00000000-0004-0000-0A00-00001F000000}"/>
  </hyperlinks>
  <pageMargins left="0.7" right="0.7" top="0.75" bottom="0.75" header="0.3" footer="0.3"/>
  <pageSetup scale="79" orientation="landscape" r:id="rId2"/>
  <headerFooter scaleWithDoc="0">
    <oddFooter>&amp;L&amp;"Arial,Bold"Rev. 5/25 Arizona Department of Education and Auditor General&amp;R&amp;"Arial,Bold"Instructions</oddFooter>
  </headerFooter>
  <rowBreaks count="1" manualBreakCount="1">
    <brk id="13"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8054D55F91284EBB1107762FB3C5FA" ma:contentTypeVersion="18" ma:contentTypeDescription="Create a new document." ma:contentTypeScope="" ma:versionID="1410b37f08874c51a2265df9ec3df916">
  <xsd:schema xmlns:xsd="http://www.w3.org/2001/XMLSchema" xmlns:xs="http://www.w3.org/2001/XMLSchema" xmlns:p="http://schemas.microsoft.com/office/2006/metadata/properties" xmlns:ns2="588712f8-bc12-4b67-b29b-a9d0f63287e2" xmlns:ns3="d7c5e3bf-8d4c-41de-aaa1-f4451f02d99d" targetNamespace="http://schemas.microsoft.com/office/2006/metadata/properties" ma:root="true" ma:fieldsID="f07a4edbd74ba1f0092007d492bd3af1" ns2:_="" ns3:_="">
    <xsd:import namespace="588712f8-bc12-4b67-b29b-a9d0f63287e2"/>
    <xsd:import namespace="d7c5e3bf-8d4c-41de-aaa1-f4451f02d9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712f8-bc12-4b67-b29b-a9d0f6328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01f69ef-746b-49a2-8d0e-3be5031717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c5e3bf-8d4c-41de-aaa1-f4451f02d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5e49b-7206-461e-b626-dd329b649d2c}" ma:internalName="TaxCatchAll" ma:showField="CatchAllData" ma:web="d7c5e3bf-8d4c-41de-aaa1-f4451f02d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588712f8-bc12-4b67-b29b-a9d0f63287e2">
      <Terms xmlns="http://schemas.microsoft.com/office/infopath/2007/PartnerControls"/>
    </lcf76f155ced4ddcb4097134ff3c332f>
    <TaxCatchAll xmlns="d7c5e3bf-8d4c-41de-aaa1-f4451f02d99d"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2DC3381D-BCFE-495F-A2BE-94795242B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712f8-bc12-4b67-b29b-a9d0f63287e2"/>
    <ds:schemaRef ds:uri="d7c5e3bf-8d4c-41de-aaa1-f4451f02d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73d57025-ee5d-49b6-a60b-7d33184acc89"/>
    <ds:schemaRef ds:uri="f69ac7c7-1a2e-46bd-a988-685139f8f258"/>
    <ds:schemaRef ds:uri="588712f8-bc12-4b67-b29b-a9d0f63287e2"/>
    <ds:schemaRef ds:uri="d7c5e3bf-8d4c-41de-aaa1-f4451f02d99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320</vt:i4>
      </vt:variant>
    </vt:vector>
  </HeadingPairs>
  <TitlesOfParts>
    <vt:vector size="331" baseType="lpstr">
      <vt:lpstr>Cover</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CAK3Reading</vt:lpstr>
      <vt:lpstr>CapitalAcquisitions</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lpstr>websitelink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Charlotte Jensen</cp:lastModifiedBy>
  <cp:lastPrinted>2025-06-30T21:54:52Z</cp:lastPrinted>
  <dcterms:created xsi:type="dcterms:W3CDTF">1997-10-06T22:25:08Z</dcterms:created>
  <dcterms:modified xsi:type="dcterms:W3CDTF">2025-07-02T18:42:23Z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2026</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0x010100508054D55F91284EBB1107762FB3C5FA</vt:lpwstr>
  </property>
  <property fmtid="{D5CDD505-2E9C-101B-9397-08002B2CF9AE}" pid="7" name="ADEGUID">
    <vt:lpwstr>AB3011C9-3886-470C-8C5A-3EB583488B5F</vt:lpwstr>
  </property>
  <property fmtid="{D5CDD505-2E9C-101B-9397-08002B2CF9AE}" pid="8" name="MediaServiceImageTags">
    <vt:lpwstr/>
  </property>
</Properties>
</file>